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ROGELIO\transparencia\"/>
    </mc:Choice>
  </mc:AlternateContent>
  <bookViews>
    <workbookView xWindow="0" yWindow="0" windowWidth="24000" windowHeight="8535" tabRatio="775"/>
  </bookViews>
  <sheets>
    <sheet name="PI-RES" sheetId="49" r:id="rId1"/>
    <sheet name="CALENDARIZACION" sheetId="51" r:id="rId2"/>
    <sheet name="PRIORIDADES DE GASTO" sheetId="47" r:id="rId3"/>
    <sheet name="PE-PARTIDA" sheetId="57" r:id="rId4"/>
    <sheet name="Electromecánica" sheetId="59" r:id="rId5"/>
    <sheet name="Alimentarias" sheetId="60" r:id="rId6"/>
    <sheet name="Innovación" sheetId="61" r:id="rId7"/>
    <sheet name="Administración" sheetId="62" r:id="rId8"/>
    <sheet name="Investigación" sheetId="63" r:id="rId9"/>
    <sheet name="Desarrollo Academico CEIN" sheetId="64" r:id="rId10"/>
    <sheet name="Servicios Escolares" sheetId="66" r:id="rId11"/>
    <sheet name="Vinculación" sheetId="67" r:id="rId12"/>
    <sheet name="Planeación" sheetId="65" r:id="rId13"/>
    <sheet name="Calidad" sheetId="68" r:id="rId14"/>
    <sheet name="Administración Recursos" sheetId="69" r:id="rId15"/>
    <sheet name="VALIDACIÓN" sheetId="70" r:id="rId16"/>
    <sheet name="GRAFICAS" sheetId="58" state="hidden" r:id="rId17"/>
  </sheets>
  <definedNames>
    <definedName name="_xlnm.Print_Area" localSheetId="3">'PE-PARTIDA'!$A$1:$H$132</definedName>
    <definedName name="_xlnm.Print_Area" localSheetId="2">'PRIORIDADES DE GASTO'!$A$1:$D$40</definedName>
    <definedName name="_xlnm.Database" localSheetId="7">#REF!</definedName>
    <definedName name="_xlnm.Database" localSheetId="14">#REF!</definedName>
    <definedName name="_xlnm.Database" localSheetId="5">#REF!</definedName>
    <definedName name="_xlnm.Database" localSheetId="13">#REF!</definedName>
    <definedName name="_xlnm.Database" localSheetId="9">#REF!</definedName>
    <definedName name="_xlnm.Database" localSheetId="6">#REF!</definedName>
    <definedName name="_xlnm.Database" localSheetId="8">#REF!</definedName>
    <definedName name="_xlnm.Database" localSheetId="0">#REF!</definedName>
    <definedName name="_xlnm.Database" localSheetId="12">#REF!</definedName>
    <definedName name="_xlnm.Database" localSheetId="10">#REF!</definedName>
    <definedName name="_xlnm.Database" localSheetId="11">#REF!</definedName>
    <definedName name="_xlnm.Database">#REF!</definedName>
    <definedName name="_xlnm.Print_Titles" localSheetId="1">CALENDARIZACION!$1:$7</definedName>
    <definedName name="_xlnm.Print_Titles" localSheetId="3">'PE-PARTIDA'!$1:$6</definedName>
  </definedNames>
  <calcPr calcId="152511"/>
</workbook>
</file>

<file path=xl/calcChain.xml><?xml version="1.0" encoding="utf-8"?>
<calcChain xmlns="http://schemas.openxmlformats.org/spreadsheetml/2006/main">
  <c r="E40" i="57" l="1"/>
  <c r="E42" i="57"/>
  <c r="E46" i="57"/>
  <c r="E102" i="57"/>
  <c r="E99" i="57"/>
  <c r="E59" i="57"/>
  <c r="E45" i="57"/>
  <c r="E40" i="69"/>
  <c r="E102" i="69"/>
  <c r="E99" i="68"/>
  <c r="E59" i="61"/>
  <c r="H139" i="70"/>
  <c r="D113" i="65"/>
  <c r="H113" i="65"/>
  <c r="H111" i="65"/>
  <c r="B111" i="70"/>
  <c r="A111" i="70"/>
  <c r="N107" i="70"/>
  <c r="M107" i="70"/>
  <c r="C113" i="57"/>
  <c r="D113" i="57"/>
  <c r="H113" i="57"/>
  <c r="H112" i="57"/>
  <c r="D112" i="70"/>
  <c r="J22" i="70"/>
  <c r="J64" i="70"/>
  <c r="J110" i="70"/>
  <c r="J114" i="70"/>
  <c r="D42" i="70" l="1"/>
  <c r="E99" i="65"/>
  <c r="D25" i="62"/>
  <c r="D25" i="59"/>
  <c r="D25" i="60"/>
  <c r="D25" i="61"/>
  <c r="E75" i="69"/>
  <c r="E75" i="64"/>
  <c r="A122" i="70" l="1"/>
  <c r="B122" i="70"/>
  <c r="A123" i="70"/>
  <c r="B123" i="70"/>
  <c r="A124" i="70"/>
  <c r="B124" i="70"/>
  <c r="A125" i="70"/>
  <c r="B125" i="70"/>
  <c r="A126" i="70"/>
  <c r="B126" i="70"/>
  <c r="A127" i="70"/>
  <c r="B127" i="70"/>
  <c r="A128" i="70"/>
  <c r="B128" i="70"/>
  <c r="A129" i="70"/>
  <c r="B129" i="70"/>
  <c r="A130" i="70"/>
  <c r="B130" i="70"/>
  <c r="C122" i="70"/>
  <c r="D122" i="70"/>
  <c r="E122" i="70"/>
  <c r="F122" i="70"/>
  <c r="G122" i="70"/>
  <c r="C123" i="70"/>
  <c r="D123" i="70"/>
  <c r="E123" i="70"/>
  <c r="F123" i="70"/>
  <c r="G123" i="70"/>
  <c r="C124" i="70"/>
  <c r="D124" i="70"/>
  <c r="E124" i="70"/>
  <c r="F124" i="70"/>
  <c r="G124" i="70"/>
  <c r="C125" i="70"/>
  <c r="D125" i="70"/>
  <c r="E125" i="70"/>
  <c r="F125" i="70"/>
  <c r="G125" i="70"/>
  <c r="C126" i="70"/>
  <c r="D126" i="70"/>
  <c r="E126" i="70"/>
  <c r="F126" i="70"/>
  <c r="G126" i="70"/>
  <c r="C127" i="70"/>
  <c r="D127" i="70"/>
  <c r="E127" i="70"/>
  <c r="F127" i="70"/>
  <c r="G127" i="70"/>
  <c r="C128" i="70"/>
  <c r="D128" i="70"/>
  <c r="E128" i="70"/>
  <c r="F128" i="70"/>
  <c r="G128" i="70"/>
  <c r="C129" i="70"/>
  <c r="D129" i="70"/>
  <c r="E129" i="70"/>
  <c r="F129" i="70"/>
  <c r="G129" i="70"/>
  <c r="C130" i="70"/>
  <c r="D130" i="70"/>
  <c r="E130" i="70"/>
  <c r="F130" i="70"/>
  <c r="G130" i="70"/>
  <c r="G121" i="70"/>
  <c r="F121" i="70"/>
  <c r="E121" i="70"/>
  <c r="D121" i="70"/>
  <c r="C121" i="70"/>
  <c r="G120" i="70"/>
  <c r="F120" i="70"/>
  <c r="E120" i="70"/>
  <c r="D120" i="70"/>
  <c r="C120" i="70"/>
  <c r="G119" i="70"/>
  <c r="F119" i="70"/>
  <c r="E119" i="70"/>
  <c r="D119" i="70"/>
  <c r="C119" i="70"/>
  <c r="G118" i="70"/>
  <c r="F118" i="70"/>
  <c r="E118" i="70"/>
  <c r="D118" i="70"/>
  <c r="C118" i="70"/>
  <c r="G117" i="70"/>
  <c r="F117" i="70"/>
  <c r="E117" i="70"/>
  <c r="D117" i="70"/>
  <c r="C117" i="70"/>
  <c r="G116" i="70"/>
  <c r="F116" i="70"/>
  <c r="E116" i="70"/>
  <c r="D116" i="70"/>
  <c r="C116" i="70"/>
  <c r="G115" i="70"/>
  <c r="F115" i="70"/>
  <c r="E115" i="70"/>
  <c r="E131" i="70" s="1"/>
  <c r="D115" i="70"/>
  <c r="C115" i="70"/>
  <c r="G112" i="70"/>
  <c r="F112" i="70"/>
  <c r="E112" i="70"/>
  <c r="C112" i="70"/>
  <c r="G111" i="70"/>
  <c r="G113" i="70" s="1"/>
  <c r="F111" i="70"/>
  <c r="F113" i="70" s="1"/>
  <c r="E111" i="70"/>
  <c r="E113" i="70" s="1"/>
  <c r="D111" i="70"/>
  <c r="D113" i="70" s="1"/>
  <c r="C111" i="70"/>
  <c r="C66" i="70"/>
  <c r="D66" i="70"/>
  <c r="E66" i="70"/>
  <c r="F66" i="70"/>
  <c r="G66" i="70"/>
  <c r="C67" i="70"/>
  <c r="D67" i="70"/>
  <c r="E67" i="70"/>
  <c r="F67" i="70"/>
  <c r="G67" i="70"/>
  <c r="C68" i="70"/>
  <c r="D68" i="70"/>
  <c r="E68" i="70"/>
  <c r="F68" i="70"/>
  <c r="G68" i="70"/>
  <c r="C69" i="70"/>
  <c r="D69" i="70"/>
  <c r="H69" i="70" s="1"/>
  <c r="E69" i="70"/>
  <c r="F69" i="70"/>
  <c r="G69" i="70"/>
  <c r="C70" i="70"/>
  <c r="D70" i="70"/>
  <c r="E70" i="70"/>
  <c r="F70" i="70"/>
  <c r="G70" i="70"/>
  <c r="C71" i="70"/>
  <c r="D71" i="70"/>
  <c r="E71" i="70"/>
  <c r="F71" i="70"/>
  <c r="G71" i="70"/>
  <c r="C72" i="70"/>
  <c r="D72" i="70"/>
  <c r="E72" i="70"/>
  <c r="H72" i="70" s="1"/>
  <c r="J72" i="70" s="1"/>
  <c r="F72" i="70"/>
  <c r="G72" i="70"/>
  <c r="C73" i="70"/>
  <c r="D73" i="70"/>
  <c r="H73" i="70" s="1"/>
  <c r="J73" i="70" s="1"/>
  <c r="E73" i="70"/>
  <c r="F73" i="70"/>
  <c r="G73" i="70"/>
  <c r="C74" i="70"/>
  <c r="D74" i="70"/>
  <c r="E74" i="70"/>
  <c r="F74" i="70"/>
  <c r="G74" i="70"/>
  <c r="C75" i="70"/>
  <c r="D75" i="70"/>
  <c r="E75" i="70"/>
  <c r="F75" i="70"/>
  <c r="G75" i="70"/>
  <c r="C76" i="70"/>
  <c r="D76" i="70"/>
  <c r="E76" i="70"/>
  <c r="F76" i="70"/>
  <c r="G76" i="70"/>
  <c r="C77" i="70"/>
  <c r="D77" i="70"/>
  <c r="H77" i="70" s="1"/>
  <c r="J77" i="70" s="1"/>
  <c r="E77" i="70"/>
  <c r="F77" i="70"/>
  <c r="G77" i="70"/>
  <c r="C78" i="70"/>
  <c r="D78" i="70"/>
  <c r="E78" i="70"/>
  <c r="F78" i="70"/>
  <c r="G78" i="70"/>
  <c r="C79" i="70"/>
  <c r="D79" i="70"/>
  <c r="E79" i="70"/>
  <c r="F79" i="70"/>
  <c r="G79" i="70"/>
  <c r="C80" i="70"/>
  <c r="D80" i="70"/>
  <c r="E80" i="70"/>
  <c r="F80" i="70"/>
  <c r="G80" i="70"/>
  <c r="C81" i="70"/>
  <c r="D81" i="70"/>
  <c r="H81" i="70" s="1"/>
  <c r="J81" i="70" s="1"/>
  <c r="E81" i="70"/>
  <c r="F81" i="70"/>
  <c r="G81" i="70"/>
  <c r="C82" i="70"/>
  <c r="D82" i="70"/>
  <c r="E82" i="70"/>
  <c r="F82" i="70"/>
  <c r="G82" i="70"/>
  <c r="C83" i="70"/>
  <c r="D83" i="70"/>
  <c r="E83" i="70"/>
  <c r="F83" i="70"/>
  <c r="G83" i="70"/>
  <c r="C84" i="70"/>
  <c r="D84" i="70"/>
  <c r="E84" i="70"/>
  <c r="H84" i="70" s="1"/>
  <c r="F84" i="70"/>
  <c r="G84" i="70"/>
  <c r="C85" i="70"/>
  <c r="D85" i="70"/>
  <c r="H85" i="70" s="1"/>
  <c r="J85" i="70" s="1"/>
  <c r="E85" i="70"/>
  <c r="F85" i="70"/>
  <c r="G85" i="70"/>
  <c r="C86" i="70"/>
  <c r="D86" i="70"/>
  <c r="E86" i="70"/>
  <c r="F86" i="70"/>
  <c r="G86" i="70"/>
  <c r="C87" i="70"/>
  <c r="D87" i="70"/>
  <c r="E87" i="70"/>
  <c r="F87" i="70"/>
  <c r="G87" i="70"/>
  <c r="C88" i="70"/>
  <c r="D88" i="70"/>
  <c r="E88" i="70"/>
  <c r="F88" i="70"/>
  <c r="G88" i="70"/>
  <c r="C89" i="70"/>
  <c r="D89" i="70"/>
  <c r="H89" i="70" s="1"/>
  <c r="J89" i="70" s="1"/>
  <c r="E89" i="70"/>
  <c r="F89" i="70"/>
  <c r="G89" i="70"/>
  <c r="C90" i="70"/>
  <c r="D90" i="70"/>
  <c r="E90" i="70"/>
  <c r="F90" i="70"/>
  <c r="G90" i="70"/>
  <c r="C91" i="70"/>
  <c r="D91" i="70"/>
  <c r="E91" i="70"/>
  <c r="F91" i="70"/>
  <c r="G91" i="70"/>
  <c r="C92" i="70"/>
  <c r="D92" i="70"/>
  <c r="E92" i="70"/>
  <c r="F92" i="70"/>
  <c r="G92" i="70"/>
  <c r="C93" i="70"/>
  <c r="D93" i="70"/>
  <c r="H93" i="70" s="1"/>
  <c r="J93" i="70" s="1"/>
  <c r="E93" i="70"/>
  <c r="F93" i="70"/>
  <c r="G93" i="70"/>
  <c r="C94" i="70"/>
  <c r="D94" i="70"/>
  <c r="E94" i="70"/>
  <c r="F94" i="70"/>
  <c r="G94" i="70"/>
  <c r="C95" i="70"/>
  <c r="D95" i="70"/>
  <c r="E95" i="70"/>
  <c r="F95" i="70"/>
  <c r="G95" i="70"/>
  <c r="C96" i="70"/>
  <c r="D96" i="70"/>
  <c r="E96" i="70"/>
  <c r="F96" i="70"/>
  <c r="G96" i="70"/>
  <c r="C97" i="70"/>
  <c r="D97" i="70"/>
  <c r="H97" i="70" s="1"/>
  <c r="J97" i="70" s="1"/>
  <c r="E97" i="70"/>
  <c r="F97" i="70"/>
  <c r="G97" i="70"/>
  <c r="C98" i="70"/>
  <c r="D98" i="70"/>
  <c r="E98" i="70"/>
  <c r="F98" i="70"/>
  <c r="G98" i="70"/>
  <c r="C99" i="70"/>
  <c r="D99" i="70"/>
  <c r="E99" i="70"/>
  <c r="F99" i="70"/>
  <c r="G99" i="70"/>
  <c r="C100" i="70"/>
  <c r="D100" i="70"/>
  <c r="E100" i="70"/>
  <c r="H100" i="70" s="1"/>
  <c r="J100" i="70" s="1"/>
  <c r="F100" i="70"/>
  <c r="G100" i="70"/>
  <c r="C101" i="70"/>
  <c r="D101" i="70"/>
  <c r="H101" i="70" s="1"/>
  <c r="J101" i="70" s="1"/>
  <c r="E101" i="70"/>
  <c r="F101" i="70"/>
  <c r="G101" i="70"/>
  <c r="C102" i="70"/>
  <c r="D102" i="70"/>
  <c r="E102" i="70"/>
  <c r="F102" i="70"/>
  <c r="G102" i="70"/>
  <c r="C103" i="70"/>
  <c r="D103" i="70"/>
  <c r="E103" i="70"/>
  <c r="F103" i="70"/>
  <c r="G103" i="70"/>
  <c r="C104" i="70"/>
  <c r="D104" i="70"/>
  <c r="E104" i="70"/>
  <c r="F104" i="70"/>
  <c r="G104" i="70"/>
  <c r="C105" i="70"/>
  <c r="D105" i="70"/>
  <c r="H105" i="70" s="1"/>
  <c r="J105" i="70" s="1"/>
  <c r="E105" i="70"/>
  <c r="F105" i="70"/>
  <c r="G105" i="70"/>
  <c r="C106" i="70"/>
  <c r="D106" i="70"/>
  <c r="E106" i="70"/>
  <c r="F106" i="70"/>
  <c r="G106" i="70"/>
  <c r="C107" i="70"/>
  <c r="D107" i="70"/>
  <c r="E107" i="70"/>
  <c r="F107" i="70"/>
  <c r="G107" i="70"/>
  <c r="C108" i="70"/>
  <c r="D108" i="70"/>
  <c r="E108" i="70"/>
  <c r="F108" i="70"/>
  <c r="G108" i="70"/>
  <c r="G65" i="70"/>
  <c r="F65" i="70"/>
  <c r="F109" i="70" s="1"/>
  <c r="E65" i="70"/>
  <c r="D65" i="70"/>
  <c r="C65" i="70"/>
  <c r="C24" i="70"/>
  <c r="D24" i="70"/>
  <c r="E24" i="70"/>
  <c r="F24" i="70"/>
  <c r="G24" i="70"/>
  <c r="C25" i="70"/>
  <c r="D25" i="70"/>
  <c r="E25" i="70"/>
  <c r="F25" i="70"/>
  <c r="G25" i="70"/>
  <c r="C26" i="70"/>
  <c r="D26" i="70"/>
  <c r="E26" i="70"/>
  <c r="F26" i="70"/>
  <c r="G26" i="70"/>
  <c r="C27" i="70"/>
  <c r="D27" i="70"/>
  <c r="E27" i="70"/>
  <c r="F27" i="70"/>
  <c r="G27" i="70"/>
  <c r="C28" i="70"/>
  <c r="D28" i="70"/>
  <c r="E28" i="70"/>
  <c r="F28" i="70"/>
  <c r="G28" i="70"/>
  <c r="C29" i="70"/>
  <c r="D29" i="70"/>
  <c r="E29" i="70"/>
  <c r="F29" i="70"/>
  <c r="G29" i="70"/>
  <c r="C30" i="70"/>
  <c r="D30" i="70"/>
  <c r="E30" i="70"/>
  <c r="F30" i="70"/>
  <c r="G30" i="70"/>
  <c r="C31" i="70"/>
  <c r="D31" i="70"/>
  <c r="E31" i="70"/>
  <c r="F31" i="70"/>
  <c r="G31" i="70"/>
  <c r="C32" i="70"/>
  <c r="D32" i="70"/>
  <c r="E32" i="70"/>
  <c r="F32" i="70"/>
  <c r="G32" i="70"/>
  <c r="C33" i="70"/>
  <c r="D33" i="70"/>
  <c r="E33" i="70"/>
  <c r="F33" i="70"/>
  <c r="G33" i="70"/>
  <c r="C34" i="70"/>
  <c r="D34" i="70"/>
  <c r="E34" i="70"/>
  <c r="F34" i="70"/>
  <c r="G34" i="70"/>
  <c r="C35" i="70"/>
  <c r="D35" i="70"/>
  <c r="E35" i="70"/>
  <c r="F35" i="70"/>
  <c r="G35" i="70"/>
  <c r="C36" i="70"/>
  <c r="D36" i="70"/>
  <c r="E36" i="70"/>
  <c r="F36" i="70"/>
  <c r="G36" i="70"/>
  <c r="C37" i="70"/>
  <c r="D37" i="70"/>
  <c r="E37" i="70"/>
  <c r="F37" i="70"/>
  <c r="G37" i="70"/>
  <c r="C38" i="70"/>
  <c r="D38" i="70"/>
  <c r="E38" i="70"/>
  <c r="F38" i="70"/>
  <c r="G38" i="70"/>
  <c r="C39" i="70"/>
  <c r="D39" i="70"/>
  <c r="E39" i="70"/>
  <c r="F39" i="70"/>
  <c r="G39" i="70"/>
  <c r="C40" i="70"/>
  <c r="D40" i="70"/>
  <c r="E40" i="70"/>
  <c r="F40" i="70"/>
  <c r="G40" i="70"/>
  <c r="C41" i="70"/>
  <c r="D41" i="70"/>
  <c r="E41" i="70"/>
  <c r="F41" i="70"/>
  <c r="G41" i="70"/>
  <c r="C42" i="70"/>
  <c r="E42" i="70"/>
  <c r="F42" i="70"/>
  <c r="G42" i="70"/>
  <c r="C43" i="70"/>
  <c r="D43" i="70"/>
  <c r="E43" i="70"/>
  <c r="F43" i="70"/>
  <c r="G43" i="70"/>
  <c r="C44" i="70"/>
  <c r="D44" i="70"/>
  <c r="E44" i="70"/>
  <c r="F44" i="70"/>
  <c r="G44" i="70"/>
  <c r="C45" i="70"/>
  <c r="D45" i="70"/>
  <c r="E45" i="70"/>
  <c r="F45" i="70"/>
  <c r="G45" i="70"/>
  <c r="C46" i="70"/>
  <c r="D46" i="70"/>
  <c r="E46" i="70"/>
  <c r="F46" i="70"/>
  <c r="G46" i="70"/>
  <c r="C47" i="70"/>
  <c r="D47" i="70"/>
  <c r="E47" i="70"/>
  <c r="F47" i="70"/>
  <c r="G47" i="70"/>
  <c r="C48" i="70"/>
  <c r="D48" i="70"/>
  <c r="E48" i="70"/>
  <c r="F48" i="70"/>
  <c r="G48" i="70"/>
  <c r="C49" i="70"/>
  <c r="D49" i="70"/>
  <c r="E49" i="70"/>
  <c r="F49" i="70"/>
  <c r="G49" i="70"/>
  <c r="C50" i="70"/>
  <c r="D50" i="70"/>
  <c r="E50" i="70"/>
  <c r="F50" i="70"/>
  <c r="G50" i="70"/>
  <c r="C51" i="70"/>
  <c r="D51" i="70"/>
  <c r="E51" i="70"/>
  <c r="F51" i="70"/>
  <c r="G51" i="70"/>
  <c r="C52" i="70"/>
  <c r="D52" i="70"/>
  <c r="E52" i="70"/>
  <c r="F52" i="70"/>
  <c r="G52" i="70"/>
  <c r="C53" i="70"/>
  <c r="D53" i="70"/>
  <c r="E53" i="70"/>
  <c r="F53" i="70"/>
  <c r="G53" i="70"/>
  <c r="C54" i="70"/>
  <c r="D54" i="70"/>
  <c r="E54" i="70"/>
  <c r="F54" i="70"/>
  <c r="G54" i="70"/>
  <c r="C55" i="70"/>
  <c r="D55" i="70"/>
  <c r="E55" i="70"/>
  <c r="F55" i="70"/>
  <c r="G55" i="70"/>
  <c r="C56" i="70"/>
  <c r="D56" i="70"/>
  <c r="E56" i="70"/>
  <c r="F56" i="70"/>
  <c r="G56" i="70"/>
  <c r="C57" i="70"/>
  <c r="D57" i="70"/>
  <c r="E57" i="70"/>
  <c r="F57" i="70"/>
  <c r="G57" i="70"/>
  <c r="C58" i="70"/>
  <c r="D58" i="70"/>
  <c r="E58" i="70"/>
  <c r="F58" i="70"/>
  <c r="G58" i="70"/>
  <c r="C59" i="70"/>
  <c r="D59" i="70"/>
  <c r="E59" i="70"/>
  <c r="F59" i="70"/>
  <c r="G59" i="70"/>
  <c r="C60" i="70"/>
  <c r="D60" i="70"/>
  <c r="E60" i="70"/>
  <c r="F60" i="70"/>
  <c r="G60" i="70"/>
  <c r="C61" i="70"/>
  <c r="D61" i="70"/>
  <c r="E61" i="70"/>
  <c r="F61" i="70"/>
  <c r="G61" i="70"/>
  <c r="C62" i="70"/>
  <c r="D62" i="70"/>
  <c r="E62" i="70"/>
  <c r="F62" i="70"/>
  <c r="G62" i="70"/>
  <c r="G23" i="70"/>
  <c r="F23" i="70"/>
  <c r="E23" i="70"/>
  <c r="D23" i="70"/>
  <c r="C23" i="70"/>
  <c r="D9" i="70"/>
  <c r="E9" i="70"/>
  <c r="F9" i="70"/>
  <c r="G9" i="70"/>
  <c r="D10" i="70"/>
  <c r="E10" i="70"/>
  <c r="F10" i="70"/>
  <c r="G10" i="70"/>
  <c r="D11" i="70"/>
  <c r="E11" i="70"/>
  <c r="F11" i="70"/>
  <c r="G11" i="70"/>
  <c r="D12" i="70"/>
  <c r="E12" i="70"/>
  <c r="F12" i="70"/>
  <c r="G12" i="70"/>
  <c r="D13" i="70"/>
  <c r="E13" i="70"/>
  <c r="F13" i="70"/>
  <c r="G13" i="70"/>
  <c r="D14" i="70"/>
  <c r="E14" i="70"/>
  <c r="F14" i="70"/>
  <c r="G14" i="70"/>
  <c r="D15" i="70"/>
  <c r="E15" i="70"/>
  <c r="F15" i="70"/>
  <c r="G15" i="70"/>
  <c r="D16" i="70"/>
  <c r="E16" i="70"/>
  <c r="F16" i="70"/>
  <c r="G16" i="70"/>
  <c r="D17" i="70"/>
  <c r="E17" i="70"/>
  <c r="F17" i="70"/>
  <c r="G17" i="70"/>
  <c r="D18" i="70"/>
  <c r="E18" i="70"/>
  <c r="F18" i="70"/>
  <c r="G18" i="70"/>
  <c r="D19" i="70"/>
  <c r="E19" i="70"/>
  <c r="F19" i="70"/>
  <c r="G19" i="70"/>
  <c r="D20" i="70"/>
  <c r="E20" i="70"/>
  <c r="F20" i="70"/>
  <c r="G20" i="70"/>
  <c r="D8" i="70"/>
  <c r="D21" i="70" s="1"/>
  <c r="E8" i="70"/>
  <c r="F8" i="70"/>
  <c r="F21" i="70" s="1"/>
  <c r="G8" i="70"/>
  <c r="G21" i="70" s="1"/>
  <c r="C9" i="70"/>
  <c r="C10" i="70"/>
  <c r="C11" i="70"/>
  <c r="C12" i="70"/>
  <c r="C13" i="70"/>
  <c r="C14" i="70"/>
  <c r="C15" i="70"/>
  <c r="C16" i="70"/>
  <c r="C17" i="70"/>
  <c r="C18" i="70"/>
  <c r="C19" i="70"/>
  <c r="C20" i="70"/>
  <c r="C8" i="70"/>
  <c r="A9" i="70"/>
  <c r="B9" i="70"/>
  <c r="A10" i="70"/>
  <c r="B10" i="70"/>
  <c r="A11" i="70"/>
  <c r="B11" i="70"/>
  <c r="A12" i="70"/>
  <c r="B12" i="70"/>
  <c r="A13" i="70"/>
  <c r="B13" i="70"/>
  <c r="A14" i="70"/>
  <c r="B14" i="70"/>
  <c r="A15" i="70"/>
  <c r="B15" i="70"/>
  <c r="A16" i="70"/>
  <c r="B16" i="70"/>
  <c r="A17" i="70"/>
  <c r="B17" i="70"/>
  <c r="A18" i="70"/>
  <c r="B18" i="70"/>
  <c r="A19" i="70"/>
  <c r="B19" i="70"/>
  <c r="A20" i="70"/>
  <c r="B20" i="70"/>
  <c r="A23" i="70"/>
  <c r="B23" i="70"/>
  <c r="A24" i="70"/>
  <c r="B24" i="70"/>
  <c r="A25" i="70"/>
  <c r="B25" i="70"/>
  <c r="A26" i="70"/>
  <c r="B26" i="70"/>
  <c r="A27" i="70"/>
  <c r="B27" i="70"/>
  <c r="A28" i="70"/>
  <c r="B28" i="70"/>
  <c r="A29" i="70"/>
  <c r="B29" i="70"/>
  <c r="A30" i="70"/>
  <c r="B30" i="70"/>
  <c r="A31" i="70"/>
  <c r="B31" i="70"/>
  <c r="A32" i="70"/>
  <c r="B32" i="70"/>
  <c r="A33" i="70"/>
  <c r="B33" i="70"/>
  <c r="A34" i="70"/>
  <c r="B34" i="70"/>
  <c r="A35" i="70"/>
  <c r="B35" i="70"/>
  <c r="A36" i="70"/>
  <c r="B36" i="70"/>
  <c r="A37" i="70"/>
  <c r="B37" i="70"/>
  <c r="A38" i="70"/>
  <c r="B38" i="70"/>
  <c r="A39" i="70"/>
  <c r="B39" i="70"/>
  <c r="A40" i="70"/>
  <c r="B40" i="70"/>
  <c r="A41" i="70"/>
  <c r="B41" i="70"/>
  <c r="A42" i="70"/>
  <c r="B42" i="70"/>
  <c r="A43" i="70"/>
  <c r="B43" i="70"/>
  <c r="A44" i="70"/>
  <c r="B44" i="70"/>
  <c r="A45" i="70"/>
  <c r="B45" i="70"/>
  <c r="A46" i="70"/>
  <c r="B46" i="70"/>
  <c r="A47" i="70"/>
  <c r="B47" i="70"/>
  <c r="A48" i="70"/>
  <c r="B48" i="70"/>
  <c r="A49" i="70"/>
  <c r="B49" i="70"/>
  <c r="A50" i="70"/>
  <c r="B50" i="70"/>
  <c r="A51" i="70"/>
  <c r="B51" i="70"/>
  <c r="A52" i="70"/>
  <c r="B52" i="70"/>
  <c r="A53" i="70"/>
  <c r="B53" i="70"/>
  <c r="A54" i="70"/>
  <c r="B54" i="70"/>
  <c r="A55" i="70"/>
  <c r="B55" i="70"/>
  <c r="A56" i="70"/>
  <c r="B56" i="70"/>
  <c r="A57" i="70"/>
  <c r="B57" i="70"/>
  <c r="A58" i="70"/>
  <c r="B58" i="70"/>
  <c r="A59" i="70"/>
  <c r="B59" i="70"/>
  <c r="A60" i="70"/>
  <c r="B60" i="70"/>
  <c r="A61" i="70"/>
  <c r="B61" i="70"/>
  <c r="A62" i="70"/>
  <c r="B62" i="70"/>
  <c r="A65" i="70"/>
  <c r="B65" i="70"/>
  <c r="A66" i="70"/>
  <c r="B66" i="70"/>
  <c r="A67" i="70"/>
  <c r="B67" i="70"/>
  <c r="A68" i="70"/>
  <c r="B68" i="70"/>
  <c r="A69" i="70"/>
  <c r="B69" i="70"/>
  <c r="A70" i="70"/>
  <c r="B70" i="70"/>
  <c r="A71" i="70"/>
  <c r="B71" i="70"/>
  <c r="A72" i="70"/>
  <c r="B72" i="70"/>
  <c r="A73" i="70"/>
  <c r="B73" i="70"/>
  <c r="A74" i="70"/>
  <c r="B74" i="70"/>
  <c r="A75" i="70"/>
  <c r="B75" i="70"/>
  <c r="A76" i="70"/>
  <c r="B76" i="70"/>
  <c r="A77" i="70"/>
  <c r="B77" i="70"/>
  <c r="A78" i="70"/>
  <c r="B78" i="70"/>
  <c r="A79" i="70"/>
  <c r="B79" i="70"/>
  <c r="A80" i="70"/>
  <c r="B80" i="70"/>
  <c r="A81" i="70"/>
  <c r="B81" i="70"/>
  <c r="A82" i="70"/>
  <c r="B82" i="70"/>
  <c r="A83" i="70"/>
  <c r="B83" i="70"/>
  <c r="A84" i="70"/>
  <c r="B84" i="70"/>
  <c r="A85" i="70"/>
  <c r="B85" i="70"/>
  <c r="A86" i="70"/>
  <c r="B86" i="70"/>
  <c r="A87" i="70"/>
  <c r="B87" i="70"/>
  <c r="A88" i="70"/>
  <c r="B88" i="70"/>
  <c r="A89" i="70"/>
  <c r="B89" i="70"/>
  <c r="A90" i="70"/>
  <c r="B90" i="70"/>
  <c r="A91" i="70"/>
  <c r="B91" i="70"/>
  <c r="A92" i="70"/>
  <c r="B92" i="70"/>
  <c r="A93" i="70"/>
  <c r="B93" i="70"/>
  <c r="A94" i="70"/>
  <c r="B94" i="70"/>
  <c r="A95" i="70"/>
  <c r="B95" i="70"/>
  <c r="A96" i="70"/>
  <c r="B96" i="70"/>
  <c r="A97" i="70"/>
  <c r="B97" i="70"/>
  <c r="A98" i="70"/>
  <c r="B98" i="70"/>
  <c r="A99" i="70"/>
  <c r="B99" i="70"/>
  <c r="A100" i="70"/>
  <c r="B100" i="70"/>
  <c r="A101" i="70"/>
  <c r="B101" i="70"/>
  <c r="A102" i="70"/>
  <c r="B102" i="70"/>
  <c r="A103" i="70"/>
  <c r="B103" i="70"/>
  <c r="A104" i="70"/>
  <c r="B104" i="70"/>
  <c r="A105" i="70"/>
  <c r="B105" i="70"/>
  <c r="A106" i="70"/>
  <c r="B106" i="70"/>
  <c r="A107" i="70"/>
  <c r="B107" i="70"/>
  <c r="A108" i="70"/>
  <c r="B108" i="70"/>
  <c r="A115" i="70"/>
  <c r="B115" i="70"/>
  <c r="A116" i="70"/>
  <c r="B116" i="70"/>
  <c r="A117" i="70"/>
  <c r="B117" i="70"/>
  <c r="A118" i="70"/>
  <c r="B118" i="70"/>
  <c r="A119" i="70"/>
  <c r="B119" i="70"/>
  <c r="A120" i="70"/>
  <c r="B120" i="70"/>
  <c r="A121" i="70"/>
  <c r="B121" i="70"/>
  <c r="B8" i="70"/>
  <c r="A8" i="70"/>
  <c r="E107" i="66"/>
  <c r="E88" i="69"/>
  <c r="E78" i="69"/>
  <c r="E73" i="64"/>
  <c r="D76" i="69"/>
  <c r="D72" i="67"/>
  <c r="D20" i="69"/>
  <c r="D18" i="69"/>
  <c r="D17" i="69"/>
  <c r="D15" i="69"/>
  <c r="D14" i="69"/>
  <c r="D13" i="69"/>
  <c r="D9" i="69"/>
  <c r="D8" i="69"/>
  <c r="G113" i="69"/>
  <c r="F113" i="69"/>
  <c r="E113" i="69"/>
  <c r="D113" i="69"/>
  <c r="C113" i="69"/>
  <c r="H128" i="57"/>
  <c r="E107" i="57"/>
  <c r="E88" i="57"/>
  <c r="E78" i="57"/>
  <c r="E75" i="57"/>
  <c r="E73" i="57"/>
  <c r="D76" i="57"/>
  <c r="D72" i="57"/>
  <c r="D25" i="57"/>
  <c r="D17" i="57"/>
  <c r="D20" i="57"/>
  <c r="D18" i="57"/>
  <c r="D15" i="57"/>
  <c r="D14" i="57"/>
  <c r="D13" i="57"/>
  <c r="D9" i="57"/>
  <c r="D8" i="57"/>
  <c r="E21" i="70" l="1"/>
  <c r="H17" i="70"/>
  <c r="J17" i="70" s="1"/>
  <c r="H9" i="70"/>
  <c r="J9" i="70" s="1"/>
  <c r="C21" i="70"/>
  <c r="H13" i="70"/>
  <c r="J13" i="70" s="1"/>
  <c r="H20" i="70"/>
  <c r="H16" i="70"/>
  <c r="J16" i="70" s="1"/>
  <c r="H12" i="70"/>
  <c r="G109" i="70"/>
  <c r="H111" i="70"/>
  <c r="F131" i="70"/>
  <c r="H90" i="70"/>
  <c r="J90" i="70" s="1"/>
  <c r="H19" i="70"/>
  <c r="J19" i="70" s="1"/>
  <c r="H15" i="70"/>
  <c r="J15" i="70" s="1"/>
  <c r="H11" i="70"/>
  <c r="J11" i="70" s="1"/>
  <c r="C63" i="70"/>
  <c r="G63" i="70"/>
  <c r="H42" i="70"/>
  <c r="H115" i="70"/>
  <c r="J115" i="70" s="1"/>
  <c r="G131" i="70"/>
  <c r="H119" i="70"/>
  <c r="J119" i="70" s="1"/>
  <c r="H126" i="70"/>
  <c r="J126" i="70" s="1"/>
  <c r="H122" i="70"/>
  <c r="J122" i="70" s="1"/>
  <c r="H106" i="70"/>
  <c r="J106" i="70" s="1"/>
  <c r="H18" i="70"/>
  <c r="J18" i="70" s="1"/>
  <c r="H14" i="70"/>
  <c r="J14" i="70" s="1"/>
  <c r="H10" i="70"/>
  <c r="J10" i="70" s="1"/>
  <c r="H62" i="70"/>
  <c r="J62" i="70" s="1"/>
  <c r="H61" i="70"/>
  <c r="J61" i="70" s="1"/>
  <c r="H58" i="70"/>
  <c r="J58" i="70" s="1"/>
  <c r="H57" i="70"/>
  <c r="J57" i="70" s="1"/>
  <c r="H54" i="70"/>
  <c r="J54" i="70" s="1"/>
  <c r="H53" i="70"/>
  <c r="J53" i="70" s="1"/>
  <c r="H49" i="70"/>
  <c r="J49" i="70" s="1"/>
  <c r="H48" i="70"/>
  <c r="J48" i="70" s="1"/>
  <c r="H45" i="70"/>
  <c r="H44" i="70"/>
  <c r="J44" i="70" s="1"/>
  <c r="H38" i="70"/>
  <c r="J38" i="70" s="1"/>
  <c r="H26" i="70"/>
  <c r="J26" i="70" s="1"/>
  <c r="D131" i="70"/>
  <c r="H21" i="70"/>
  <c r="H78" i="70"/>
  <c r="J78" i="70" s="1"/>
  <c r="H8" i="70"/>
  <c r="J8" i="70" s="1"/>
  <c r="H39" i="70"/>
  <c r="J39" i="70" s="1"/>
  <c r="H35" i="70"/>
  <c r="J35" i="70" s="1"/>
  <c r="H34" i="70"/>
  <c r="J34" i="70" s="1"/>
  <c r="H31" i="70"/>
  <c r="J31" i="70" s="1"/>
  <c r="H30" i="70"/>
  <c r="J30" i="70" s="1"/>
  <c r="H27" i="70"/>
  <c r="J27" i="70" s="1"/>
  <c r="H65" i="70"/>
  <c r="J65" i="70" s="1"/>
  <c r="H70" i="70"/>
  <c r="J70" i="70" s="1"/>
  <c r="H66" i="70"/>
  <c r="J66" i="70" s="1"/>
  <c r="C109" i="70"/>
  <c r="H112" i="70"/>
  <c r="J112" i="70" s="1"/>
  <c r="H116" i="70"/>
  <c r="J116" i="70" s="1"/>
  <c r="H120" i="70"/>
  <c r="J120" i="70" s="1"/>
  <c r="H130" i="70"/>
  <c r="J130" i="70" s="1"/>
  <c r="H128" i="70"/>
  <c r="J128" i="70" s="1"/>
  <c r="H127" i="70"/>
  <c r="J127" i="70" s="1"/>
  <c r="H123" i="70"/>
  <c r="J123" i="70" s="1"/>
  <c r="F63" i="70"/>
  <c r="F132" i="70" s="1"/>
  <c r="D109" i="70"/>
  <c r="H60" i="70"/>
  <c r="J60" i="70" s="1"/>
  <c r="H56" i="70"/>
  <c r="J56" i="70" s="1"/>
  <c r="H55" i="70"/>
  <c r="H52" i="70"/>
  <c r="J52" i="70" s="1"/>
  <c r="H51" i="70"/>
  <c r="J51" i="70" s="1"/>
  <c r="H50" i="70"/>
  <c r="J50" i="70" s="1"/>
  <c r="H46" i="70"/>
  <c r="H43" i="70"/>
  <c r="H36" i="70"/>
  <c r="J36" i="70" s="1"/>
  <c r="H24" i="70"/>
  <c r="J24" i="70" s="1"/>
  <c r="H108" i="70"/>
  <c r="J108" i="70" s="1"/>
  <c r="H107" i="70"/>
  <c r="J107" i="70" s="1"/>
  <c r="H103" i="70"/>
  <c r="J103" i="70" s="1"/>
  <c r="H102" i="70"/>
  <c r="H98" i="70"/>
  <c r="J98" i="70" s="1"/>
  <c r="H96" i="70"/>
  <c r="J96" i="70" s="1"/>
  <c r="H95" i="70"/>
  <c r="J95" i="70" s="1"/>
  <c r="H92" i="70"/>
  <c r="H91" i="70"/>
  <c r="J91" i="70" s="1"/>
  <c r="H88" i="70"/>
  <c r="J88" i="70" s="1"/>
  <c r="H87" i="70"/>
  <c r="J87" i="70" s="1"/>
  <c r="H86" i="70"/>
  <c r="J86" i="70" s="1"/>
  <c r="H83" i="70"/>
  <c r="J83" i="70" s="1"/>
  <c r="H82" i="70"/>
  <c r="J82" i="70" s="1"/>
  <c r="H80" i="70"/>
  <c r="J80" i="70" s="1"/>
  <c r="H79" i="70"/>
  <c r="J79" i="70" s="1"/>
  <c r="H74" i="70"/>
  <c r="J74" i="70" s="1"/>
  <c r="H71" i="70"/>
  <c r="J71" i="70" s="1"/>
  <c r="H67" i="70"/>
  <c r="J67" i="70" s="1"/>
  <c r="C113" i="70"/>
  <c r="H117" i="70"/>
  <c r="J117" i="70" s="1"/>
  <c r="H121" i="70"/>
  <c r="H124" i="70"/>
  <c r="J124" i="70" s="1"/>
  <c r="C131" i="70"/>
  <c r="H94" i="70"/>
  <c r="J94" i="70" s="1"/>
  <c r="H41" i="70"/>
  <c r="J41" i="70" s="1"/>
  <c r="H40" i="70"/>
  <c r="H37" i="70"/>
  <c r="J37" i="70" s="1"/>
  <c r="H33" i="70"/>
  <c r="J33" i="70" s="1"/>
  <c r="H32" i="70"/>
  <c r="J32" i="70" s="1"/>
  <c r="H29" i="70"/>
  <c r="J29" i="70" s="1"/>
  <c r="H28" i="70"/>
  <c r="J28" i="70" s="1"/>
  <c r="H25" i="70"/>
  <c r="J25" i="70" s="1"/>
  <c r="H76" i="70"/>
  <c r="J76" i="70" s="1"/>
  <c r="H68" i="70"/>
  <c r="J68" i="70" s="1"/>
  <c r="H118" i="70"/>
  <c r="H129" i="70"/>
  <c r="J129" i="70" s="1"/>
  <c r="H125" i="70"/>
  <c r="J125" i="70" s="1"/>
  <c r="H104" i="70"/>
  <c r="J104" i="70" s="1"/>
  <c r="E109" i="70"/>
  <c r="H99" i="70"/>
  <c r="H59" i="70"/>
  <c r="H47" i="70"/>
  <c r="J47" i="70" s="1"/>
  <c r="E63" i="70"/>
  <c r="H23" i="70"/>
  <c r="J23" i="70" s="1"/>
  <c r="D63" i="70"/>
  <c r="H75" i="70"/>
  <c r="G113" i="61"/>
  <c r="G132" i="70" l="1"/>
  <c r="D132" i="70"/>
  <c r="C132" i="70"/>
  <c r="H109" i="70"/>
  <c r="J75" i="70"/>
  <c r="H131" i="70"/>
  <c r="H113" i="70"/>
  <c r="E132" i="70"/>
  <c r="H63" i="70"/>
  <c r="H24" i="69"/>
  <c r="D145" i="57"/>
  <c r="C20" i="69"/>
  <c r="C16" i="69"/>
  <c r="C15" i="69"/>
  <c r="C14" i="69"/>
  <c r="C13" i="69"/>
  <c r="H13" i="69"/>
  <c r="C12" i="69"/>
  <c r="C11" i="69"/>
  <c r="D10" i="69"/>
  <c r="C10" i="69"/>
  <c r="C21" i="69"/>
  <c r="C8" i="69"/>
  <c r="G131" i="69"/>
  <c r="G132" i="69"/>
  <c r="F131" i="69"/>
  <c r="E131" i="69"/>
  <c r="D131" i="69"/>
  <c r="C131" i="69"/>
  <c r="H130" i="69"/>
  <c r="H129" i="69"/>
  <c r="H127" i="69"/>
  <c r="H126" i="69"/>
  <c r="H125" i="69"/>
  <c r="H124" i="69"/>
  <c r="H123" i="69"/>
  <c r="H122" i="69"/>
  <c r="H121" i="69"/>
  <c r="H120" i="69"/>
  <c r="H119" i="69"/>
  <c r="H118" i="69"/>
  <c r="H117" i="69"/>
  <c r="H116" i="69"/>
  <c r="H115" i="69"/>
  <c r="H112" i="69"/>
  <c r="H113" i="69" s="1"/>
  <c r="G109" i="69"/>
  <c r="F109" i="69"/>
  <c r="E109" i="69"/>
  <c r="E132" i="69" s="1"/>
  <c r="D109" i="69"/>
  <c r="C109" i="69"/>
  <c r="H108" i="69"/>
  <c r="H107" i="69"/>
  <c r="H106" i="69"/>
  <c r="H105" i="69"/>
  <c r="H104" i="69"/>
  <c r="H103" i="69"/>
  <c r="H102" i="69"/>
  <c r="H101" i="69"/>
  <c r="H100" i="69"/>
  <c r="H99" i="69"/>
  <c r="H98" i="69"/>
  <c r="H97" i="69"/>
  <c r="H96" i="69"/>
  <c r="H95" i="69"/>
  <c r="H94" i="69"/>
  <c r="H93" i="69"/>
  <c r="H92" i="69"/>
  <c r="H91" i="69"/>
  <c r="H90" i="69"/>
  <c r="H89" i="69"/>
  <c r="H88" i="69"/>
  <c r="H87" i="69"/>
  <c r="H86" i="69"/>
  <c r="H85" i="69"/>
  <c r="H84" i="69"/>
  <c r="H83" i="69"/>
  <c r="H82" i="69"/>
  <c r="H81" i="69"/>
  <c r="H80" i="69"/>
  <c r="H79" i="69"/>
  <c r="H78" i="69"/>
  <c r="H77" i="69"/>
  <c r="H76" i="69"/>
  <c r="H75" i="69"/>
  <c r="H74" i="69"/>
  <c r="H73" i="69"/>
  <c r="H72" i="69"/>
  <c r="H71" i="69"/>
  <c r="H70" i="69"/>
  <c r="H69" i="69"/>
  <c r="H68" i="69"/>
  <c r="H67" i="69"/>
  <c r="H66" i="69"/>
  <c r="H65" i="69"/>
  <c r="G63" i="69"/>
  <c r="F63" i="69"/>
  <c r="E63" i="69"/>
  <c r="D63" i="69"/>
  <c r="C63" i="69"/>
  <c r="H62" i="69"/>
  <c r="H61" i="69"/>
  <c r="H60" i="69"/>
  <c r="H59" i="69"/>
  <c r="H58" i="69"/>
  <c r="H57" i="69"/>
  <c r="H56" i="69"/>
  <c r="H55" i="69"/>
  <c r="H54" i="69"/>
  <c r="H53" i="69"/>
  <c r="H52" i="69"/>
  <c r="H51" i="69"/>
  <c r="H50" i="69"/>
  <c r="H49" i="69"/>
  <c r="H48" i="69"/>
  <c r="H47" i="69"/>
  <c r="H46" i="69"/>
  <c r="H45" i="69"/>
  <c r="H44" i="69"/>
  <c r="H43" i="69"/>
  <c r="H42" i="69"/>
  <c r="H41" i="69"/>
  <c r="H40" i="69"/>
  <c r="H39" i="69"/>
  <c r="H38" i="69"/>
  <c r="H37" i="69"/>
  <c r="H36" i="69"/>
  <c r="H35" i="69"/>
  <c r="H34" i="69"/>
  <c r="H33" i="69"/>
  <c r="H32" i="69"/>
  <c r="H31" i="69"/>
  <c r="H30" i="69"/>
  <c r="H29" i="69"/>
  <c r="H28" i="69"/>
  <c r="H27" i="69"/>
  <c r="H26" i="69"/>
  <c r="H25" i="69"/>
  <c r="H23" i="69"/>
  <c r="G21" i="69"/>
  <c r="F21" i="69"/>
  <c r="E21" i="69"/>
  <c r="H19" i="69"/>
  <c r="H18" i="69"/>
  <c r="H17" i="69"/>
  <c r="H16" i="69"/>
  <c r="H14" i="69"/>
  <c r="H11" i="69"/>
  <c r="H9" i="69"/>
  <c r="G131" i="68"/>
  <c r="F131" i="68"/>
  <c r="E131" i="68"/>
  <c r="D131" i="68"/>
  <c r="C131" i="68"/>
  <c r="H130" i="68"/>
  <c r="H129" i="68"/>
  <c r="H127" i="68"/>
  <c r="H126" i="68"/>
  <c r="H125" i="68"/>
  <c r="H124" i="68"/>
  <c r="H123" i="68"/>
  <c r="H122" i="68"/>
  <c r="H121" i="68"/>
  <c r="H120" i="68"/>
  <c r="H119" i="68"/>
  <c r="H118" i="68"/>
  <c r="H117" i="68"/>
  <c r="H116" i="68"/>
  <c r="H115" i="68"/>
  <c r="F113" i="68"/>
  <c r="E113" i="68"/>
  <c r="D113" i="68"/>
  <c r="C113" i="68"/>
  <c r="H112" i="68"/>
  <c r="H113" i="68"/>
  <c r="G109" i="68"/>
  <c r="F109" i="68"/>
  <c r="E109" i="68"/>
  <c r="D109" i="68"/>
  <c r="C109" i="68"/>
  <c r="H108" i="68"/>
  <c r="H107" i="68"/>
  <c r="H106" i="68"/>
  <c r="H105" i="68"/>
  <c r="H104" i="68"/>
  <c r="H103" i="68"/>
  <c r="H102" i="68"/>
  <c r="H101" i="68"/>
  <c r="H100" i="68"/>
  <c r="H99" i="68"/>
  <c r="H98" i="68"/>
  <c r="H97" i="68"/>
  <c r="H96" i="68"/>
  <c r="H95" i="68"/>
  <c r="H94" i="68"/>
  <c r="H93" i="68"/>
  <c r="H92" i="68"/>
  <c r="H91" i="68"/>
  <c r="H90" i="68"/>
  <c r="H89" i="68"/>
  <c r="H88" i="68"/>
  <c r="H87" i="68"/>
  <c r="H86" i="68"/>
  <c r="H85" i="68"/>
  <c r="H84" i="68"/>
  <c r="H83" i="68"/>
  <c r="H82" i="68"/>
  <c r="H81" i="68"/>
  <c r="H80" i="68"/>
  <c r="H79" i="68"/>
  <c r="H78" i="68"/>
  <c r="H77" i="68"/>
  <c r="H76" i="68"/>
  <c r="H75" i="68"/>
  <c r="H74" i="68"/>
  <c r="H73" i="68"/>
  <c r="H72" i="68"/>
  <c r="H71" i="68"/>
  <c r="H70" i="68"/>
  <c r="H69" i="68"/>
  <c r="H68" i="68"/>
  <c r="H67" i="68"/>
  <c r="H66" i="68"/>
  <c r="H65" i="68"/>
  <c r="G63" i="68"/>
  <c r="F63" i="68"/>
  <c r="E63" i="68"/>
  <c r="D63" i="68"/>
  <c r="D132" i="68" s="1"/>
  <c r="C63" i="68"/>
  <c r="H62" i="68"/>
  <c r="H61" i="68"/>
  <c r="H60" i="68"/>
  <c r="H59" i="68"/>
  <c r="H58" i="68"/>
  <c r="H57" i="68"/>
  <c r="H56" i="68"/>
  <c r="H55" i="68"/>
  <c r="H54" i="68"/>
  <c r="H53" i="68"/>
  <c r="H52" i="68"/>
  <c r="H51" i="68"/>
  <c r="H50" i="68"/>
  <c r="H49" i="68"/>
  <c r="H48" i="68"/>
  <c r="H47" i="68"/>
  <c r="H46" i="68"/>
  <c r="H45" i="68"/>
  <c r="H44" i="68"/>
  <c r="H43" i="68"/>
  <c r="H42" i="68"/>
  <c r="H41" i="68"/>
  <c r="H40" i="68"/>
  <c r="H39" i="68"/>
  <c r="H38" i="68"/>
  <c r="H37" i="68"/>
  <c r="H36" i="68"/>
  <c r="H35" i="68"/>
  <c r="H34" i="68"/>
  <c r="H33" i="68"/>
  <c r="H32" i="68"/>
  <c r="H31" i="68"/>
  <c r="H30" i="68"/>
  <c r="H29" i="68"/>
  <c r="H28" i="68"/>
  <c r="H27" i="68"/>
  <c r="H26" i="68"/>
  <c r="H25" i="68"/>
  <c r="H24" i="68"/>
  <c r="H23" i="68"/>
  <c r="G21" i="68"/>
  <c r="F21" i="68"/>
  <c r="E21" i="68"/>
  <c r="D21" i="68"/>
  <c r="C21" i="68"/>
  <c r="H21" i="68"/>
  <c r="H20" i="68"/>
  <c r="H19" i="68"/>
  <c r="H18" i="68"/>
  <c r="H17" i="68"/>
  <c r="H16" i="68"/>
  <c r="H15" i="68"/>
  <c r="H14" i="68"/>
  <c r="H13" i="68"/>
  <c r="H12" i="68"/>
  <c r="H11" i="68"/>
  <c r="H10" i="68"/>
  <c r="H9" i="68"/>
  <c r="H8" i="68"/>
  <c r="G131" i="67"/>
  <c r="G132" i="67"/>
  <c r="F131" i="67"/>
  <c r="E131" i="67"/>
  <c r="D131" i="67"/>
  <c r="C131" i="67"/>
  <c r="H130" i="67"/>
  <c r="H129" i="67"/>
  <c r="H127" i="67"/>
  <c r="H126" i="67"/>
  <c r="H125" i="67"/>
  <c r="H124" i="67"/>
  <c r="H123" i="67"/>
  <c r="H122" i="67"/>
  <c r="H121" i="67"/>
  <c r="H120" i="67"/>
  <c r="H119" i="67"/>
  <c r="H118" i="67"/>
  <c r="H117" i="67"/>
  <c r="H116" i="67"/>
  <c r="H115" i="67"/>
  <c r="H113" i="67"/>
  <c r="F113" i="67"/>
  <c r="E113" i="67"/>
  <c r="D113" i="67"/>
  <c r="C113" i="67"/>
  <c r="H112" i="67"/>
  <c r="G109" i="67"/>
  <c r="F109" i="67"/>
  <c r="E109" i="67"/>
  <c r="D109" i="67"/>
  <c r="C109" i="67"/>
  <c r="H108" i="67"/>
  <c r="H107" i="67"/>
  <c r="H106" i="67"/>
  <c r="H105" i="67"/>
  <c r="H104" i="67"/>
  <c r="H103" i="67"/>
  <c r="H102" i="67"/>
  <c r="H101" i="67"/>
  <c r="H100" i="67"/>
  <c r="H99" i="67"/>
  <c r="H98" i="67"/>
  <c r="H97" i="67"/>
  <c r="H96" i="67"/>
  <c r="H95" i="67"/>
  <c r="H94" i="67"/>
  <c r="H93" i="67"/>
  <c r="H92" i="67"/>
  <c r="H91" i="67"/>
  <c r="H90" i="67"/>
  <c r="H89" i="67"/>
  <c r="H88" i="67"/>
  <c r="H87" i="67"/>
  <c r="H86" i="67"/>
  <c r="H85" i="67"/>
  <c r="H84" i="67"/>
  <c r="H83" i="67"/>
  <c r="H82" i="67"/>
  <c r="H81" i="67"/>
  <c r="H80" i="67"/>
  <c r="H79" i="67"/>
  <c r="H78" i="67"/>
  <c r="H77" i="67"/>
  <c r="H76" i="67"/>
  <c r="H75" i="67"/>
  <c r="H74" i="67"/>
  <c r="H73" i="67"/>
  <c r="H72" i="67"/>
  <c r="H71" i="67"/>
  <c r="H70" i="67"/>
  <c r="H69" i="67"/>
  <c r="H68" i="67"/>
  <c r="H67" i="67"/>
  <c r="H66" i="67"/>
  <c r="H65" i="67"/>
  <c r="G63" i="67"/>
  <c r="F63" i="67"/>
  <c r="E63" i="67"/>
  <c r="D63" i="67"/>
  <c r="C63" i="67"/>
  <c r="H62" i="67"/>
  <c r="H61" i="67"/>
  <c r="H60" i="67"/>
  <c r="H59" i="67"/>
  <c r="H58" i="67"/>
  <c r="H57" i="67"/>
  <c r="H56" i="67"/>
  <c r="H55" i="67"/>
  <c r="H54" i="67"/>
  <c r="H53" i="67"/>
  <c r="H52" i="67"/>
  <c r="H51" i="67"/>
  <c r="H50" i="67"/>
  <c r="H49" i="67"/>
  <c r="H48" i="67"/>
  <c r="H47" i="67"/>
  <c r="H46" i="67"/>
  <c r="H45" i="67"/>
  <c r="H44" i="67"/>
  <c r="H43" i="67"/>
  <c r="H42" i="67"/>
  <c r="H41" i="67"/>
  <c r="H40" i="67"/>
  <c r="H39" i="67"/>
  <c r="H38" i="67"/>
  <c r="H37" i="67"/>
  <c r="H36" i="67"/>
  <c r="H35" i="67"/>
  <c r="H34" i="67"/>
  <c r="H33" i="67"/>
  <c r="H32" i="67"/>
  <c r="H31" i="67"/>
  <c r="H30" i="67"/>
  <c r="H29" i="67"/>
  <c r="H28" i="67"/>
  <c r="H27" i="67"/>
  <c r="H26" i="67"/>
  <c r="H25" i="67"/>
  <c r="H24" i="67"/>
  <c r="H23" i="67"/>
  <c r="G21" i="67"/>
  <c r="F21" i="67"/>
  <c r="E21" i="67"/>
  <c r="D21" i="67"/>
  <c r="C21" i="67"/>
  <c r="H21" i="67"/>
  <c r="H20" i="67"/>
  <c r="H19" i="67"/>
  <c r="H18" i="67"/>
  <c r="H17" i="67"/>
  <c r="H16" i="67"/>
  <c r="H15" i="67"/>
  <c r="H14" i="67"/>
  <c r="H13" i="67"/>
  <c r="H12" i="67"/>
  <c r="H11" i="67"/>
  <c r="H10" i="67"/>
  <c r="H9" i="67"/>
  <c r="H8" i="67"/>
  <c r="G131" i="66"/>
  <c r="G132" i="66"/>
  <c r="F131" i="66"/>
  <c r="F132" i="66"/>
  <c r="E131" i="66"/>
  <c r="D131" i="66"/>
  <c r="C131" i="66"/>
  <c r="H130" i="66"/>
  <c r="H129" i="66"/>
  <c r="H127" i="66"/>
  <c r="H126" i="66"/>
  <c r="H125" i="66"/>
  <c r="H124" i="66"/>
  <c r="H123" i="66"/>
  <c r="H122" i="66"/>
  <c r="H121" i="66"/>
  <c r="H120" i="66"/>
  <c r="H119" i="66"/>
  <c r="H118" i="66"/>
  <c r="H117" i="66"/>
  <c r="H116" i="66"/>
  <c r="H115" i="66"/>
  <c r="H113" i="66"/>
  <c r="F113" i="66"/>
  <c r="E113" i="66"/>
  <c r="D113" i="66"/>
  <c r="C113" i="66"/>
  <c r="H112" i="66"/>
  <c r="G109" i="66"/>
  <c r="F109" i="66"/>
  <c r="E109" i="66"/>
  <c r="E132" i="66" s="1"/>
  <c r="D109" i="66"/>
  <c r="C109" i="66"/>
  <c r="H108" i="66"/>
  <c r="H107" i="66"/>
  <c r="H106" i="66"/>
  <c r="H105" i="66"/>
  <c r="H104" i="66"/>
  <c r="H103" i="66"/>
  <c r="H102" i="66"/>
  <c r="H101" i="66"/>
  <c r="H100" i="66"/>
  <c r="H99" i="66"/>
  <c r="H98" i="66"/>
  <c r="H97" i="66"/>
  <c r="H96" i="66"/>
  <c r="H95" i="66"/>
  <c r="H94" i="66"/>
  <c r="H93" i="66"/>
  <c r="H92" i="66"/>
  <c r="H91" i="66"/>
  <c r="H90" i="66"/>
  <c r="H89" i="66"/>
  <c r="H88" i="66"/>
  <c r="H87" i="66"/>
  <c r="H86" i="66"/>
  <c r="H85" i="66"/>
  <c r="H84" i="66"/>
  <c r="H83" i="66"/>
  <c r="H82" i="66"/>
  <c r="H81" i="66"/>
  <c r="H80" i="66"/>
  <c r="H79" i="66"/>
  <c r="H78" i="66"/>
  <c r="H77" i="66"/>
  <c r="H76" i="66"/>
  <c r="H75" i="66"/>
  <c r="H74" i="66"/>
  <c r="H73" i="66"/>
  <c r="H72" i="66"/>
  <c r="H71" i="66"/>
  <c r="H70" i="66"/>
  <c r="H69" i="66"/>
  <c r="H68" i="66"/>
  <c r="H67" i="66"/>
  <c r="H66" i="66"/>
  <c r="H65" i="66"/>
  <c r="G63" i="66"/>
  <c r="F63" i="66"/>
  <c r="E63" i="66"/>
  <c r="D63" i="66"/>
  <c r="H63" i="66" s="1"/>
  <c r="C63" i="66"/>
  <c r="H62" i="66"/>
  <c r="H61" i="66"/>
  <c r="H60" i="66"/>
  <c r="H59" i="66"/>
  <c r="H58" i="66"/>
  <c r="H57" i="66"/>
  <c r="H56" i="66"/>
  <c r="H55" i="66"/>
  <c r="H54" i="66"/>
  <c r="H53" i="66"/>
  <c r="H52" i="66"/>
  <c r="H51" i="66"/>
  <c r="H50" i="66"/>
  <c r="H49" i="66"/>
  <c r="H48" i="66"/>
  <c r="H47" i="66"/>
  <c r="H46" i="66"/>
  <c r="H45" i="66"/>
  <c r="H44" i="66"/>
  <c r="H43" i="66"/>
  <c r="H42" i="66"/>
  <c r="H41" i="66"/>
  <c r="H40" i="66"/>
  <c r="H39" i="66"/>
  <c r="H38" i="66"/>
  <c r="H37" i="66"/>
  <c r="H36" i="66"/>
  <c r="H35" i="66"/>
  <c r="H34" i="66"/>
  <c r="H33" i="66"/>
  <c r="H32" i="66"/>
  <c r="H31" i="66"/>
  <c r="H30" i="66"/>
  <c r="H29" i="66"/>
  <c r="H28" i="66"/>
  <c r="H27" i="66"/>
  <c r="H26" i="66"/>
  <c r="H25" i="66"/>
  <c r="H24" i="66"/>
  <c r="H23" i="66"/>
  <c r="G21" i="66"/>
  <c r="F21" i="66"/>
  <c r="E21" i="66"/>
  <c r="D21" i="66"/>
  <c r="C21" i="66"/>
  <c r="H21" i="66"/>
  <c r="H20" i="66"/>
  <c r="H19" i="66"/>
  <c r="H18" i="66"/>
  <c r="H17" i="66"/>
  <c r="H16" i="66"/>
  <c r="H15" i="66"/>
  <c r="H14" i="66"/>
  <c r="H13" i="66"/>
  <c r="H12" i="66"/>
  <c r="H11" i="66"/>
  <c r="H10" i="66"/>
  <c r="H9" i="66"/>
  <c r="H8" i="66"/>
  <c r="G131" i="65"/>
  <c r="G132" i="65"/>
  <c r="F131" i="65"/>
  <c r="E131" i="65"/>
  <c r="H131" i="65" s="1"/>
  <c r="D131" i="65"/>
  <c r="C131" i="65"/>
  <c r="H130" i="65"/>
  <c r="H129" i="65"/>
  <c r="H127" i="65"/>
  <c r="H126" i="65"/>
  <c r="H125" i="65"/>
  <c r="H124" i="65"/>
  <c r="H123" i="65"/>
  <c r="H122" i="65"/>
  <c r="H121" i="65"/>
  <c r="H120" i="65"/>
  <c r="H119" i="65"/>
  <c r="H118" i="65"/>
  <c r="H117" i="65"/>
  <c r="H116" i="65"/>
  <c r="H115" i="65"/>
  <c r="H115" i="61"/>
  <c r="F113" i="65"/>
  <c r="E113" i="65"/>
  <c r="C113" i="65"/>
  <c r="H112" i="65"/>
  <c r="G109" i="65"/>
  <c r="F109" i="65"/>
  <c r="E109" i="65"/>
  <c r="H109" i="65" s="1"/>
  <c r="D109" i="65"/>
  <c r="C109" i="65"/>
  <c r="H108" i="65"/>
  <c r="H107" i="65"/>
  <c r="H106" i="65"/>
  <c r="H105" i="65"/>
  <c r="H104" i="65"/>
  <c r="H103" i="65"/>
  <c r="H102" i="65"/>
  <c r="H101" i="65"/>
  <c r="H100" i="65"/>
  <c r="H99" i="65"/>
  <c r="H98" i="65"/>
  <c r="H97" i="65"/>
  <c r="H96" i="65"/>
  <c r="H95" i="65"/>
  <c r="H94" i="65"/>
  <c r="H93" i="65"/>
  <c r="H92" i="65"/>
  <c r="H91" i="65"/>
  <c r="H90" i="65"/>
  <c r="H89" i="65"/>
  <c r="H88" i="65"/>
  <c r="H87" i="65"/>
  <c r="H86" i="65"/>
  <c r="H85" i="65"/>
  <c r="H84" i="65"/>
  <c r="H83" i="65"/>
  <c r="H82" i="65"/>
  <c r="H81" i="65"/>
  <c r="H80" i="65"/>
  <c r="H79" i="65"/>
  <c r="H78" i="65"/>
  <c r="H77" i="65"/>
  <c r="H76" i="65"/>
  <c r="H75" i="65"/>
  <c r="H74" i="65"/>
  <c r="H73" i="65"/>
  <c r="H72" i="65"/>
  <c r="H71" i="65"/>
  <c r="H70" i="65"/>
  <c r="H69" i="65"/>
  <c r="H68" i="65"/>
  <c r="H67" i="65"/>
  <c r="H66" i="65"/>
  <c r="H65" i="65"/>
  <c r="G63" i="65"/>
  <c r="F63" i="65"/>
  <c r="E63" i="65"/>
  <c r="D63" i="65"/>
  <c r="C63" i="65"/>
  <c r="H62" i="65"/>
  <c r="H61" i="65"/>
  <c r="H60" i="65"/>
  <c r="H59" i="65"/>
  <c r="H58" i="65"/>
  <c r="H57" i="65"/>
  <c r="H56" i="65"/>
  <c r="H55" i="65"/>
  <c r="H54" i="65"/>
  <c r="H53" i="65"/>
  <c r="H52" i="65"/>
  <c r="H51" i="65"/>
  <c r="H50" i="65"/>
  <c r="H49" i="65"/>
  <c r="H48" i="65"/>
  <c r="H47" i="65"/>
  <c r="H46" i="65"/>
  <c r="H45" i="65"/>
  <c r="H44" i="65"/>
  <c r="H43" i="65"/>
  <c r="H42" i="65"/>
  <c r="H41" i="65"/>
  <c r="H40" i="65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H26" i="65"/>
  <c r="H25" i="65"/>
  <c r="H24" i="65"/>
  <c r="H23" i="65"/>
  <c r="G21" i="65"/>
  <c r="F21" i="65"/>
  <c r="E21" i="65"/>
  <c r="D21" i="65"/>
  <c r="C21" i="65"/>
  <c r="H20" i="65"/>
  <c r="H19" i="65"/>
  <c r="H18" i="65"/>
  <c r="H17" i="65"/>
  <c r="H16" i="65"/>
  <c r="H15" i="65"/>
  <c r="H14" i="65"/>
  <c r="H13" i="65"/>
  <c r="H12" i="65"/>
  <c r="H11" i="65"/>
  <c r="H10" i="65"/>
  <c r="H9" i="65"/>
  <c r="H8" i="65"/>
  <c r="G131" i="64"/>
  <c r="F131" i="64"/>
  <c r="E131" i="64"/>
  <c r="D131" i="64"/>
  <c r="C131" i="64"/>
  <c r="H130" i="64"/>
  <c r="H129" i="64"/>
  <c r="H127" i="64"/>
  <c r="H126" i="64"/>
  <c r="H125" i="64"/>
  <c r="H124" i="64"/>
  <c r="H123" i="64"/>
  <c r="H122" i="64"/>
  <c r="H121" i="64"/>
  <c r="H120" i="64"/>
  <c r="H119" i="64"/>
  <c r="H118" i="64"/>
  <c r="H117" i="64"/>
  <c r="H116" i="64"/>
  <c r="H115" i="64"/>
  <c r="H113" i="64"/>
  <c r="F113" i="64"/>
  <c r="E113" i="64"/>
  <c r="D113" i="64"/>
  <c r="C113" i="64"/>
  <c r="H112" i="64"/>
  <c r="G109" i="64"/>
  <c r="F109" i="64"/>
  <c r="E109" i="64"/>
  <c r="H109" i="64" s="1"/>
  <c r="D109" i="64"/>
  <c r="C109" i="64"/>
  <c r="H108" i="64"/>
  <c r="H107" i="64"/>
  <c r="H106" i="64"/>
  <c r="H105" i="64"/>
  <c r="H104" i="64"/>
  <c r="H103" i="64"/>
  <c r="H102" i="64"/>
  <c r="H101" i="64"/>
  <c r="H100" i="64"/>
  <c r="H99" i="64"/>
  <c r="H98" i="64"/>
  <c r="H97" i="64"/>
  <c r="H96" i="64"/>
  <c r="H95" i="64"/>
  <c r="H94" i="64"/>
  <c r="H93" i="64"/>
  <c r="H92" i="64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G63" i="64"/>
  <c r="F63" i="64"/>
  <c r="E63" i="64"/>
  <c r="D63" i="64"/>
  <c r="D132" i="64" s="1"/>
  <c r="C63" i="64"/>
  <c r="H62" i="64"/>
  <c r="H61" i="64"/>
  <c r="H60" i="64"/>
  <c r="H59" i="64"/>
  <c r="H58" i="64"/>
  <c r="H57" i="64"/>
  <c r="H56" i="64"/>
  <c r="H55" i="64"/>
  <c r="H54" i="64"/>
  <c r="H53" i="64"/>
  <c r="H52" i="64"/>
  <c r="H51" i="64"/>
  <c r="H50" i="64"/>
  <c r="H49" i="64"/>
  <c r="H48" i="64"/>
  <c r="H47" i="64"/>
  <c r="H46" i="64"/>
  <c r="H45" i="64"/>
  <c r="H44" i="64"/>
  <c r="H43" i="64"/>
  <c r="H42" i="64"/>
  <c r="H41" i="64"/>
  <c r="H40" i="64"/>
  <c r="H39" i="64"/>
  <c r="H38" i="64"/>
  <c r="H37" i="64"/>
  <c r="H36" i="64"/>
  <c r="H35" i="64"/>
  <c r="H34" i="64"/>
  <c r="H33" i="64"/>
  <c r="H32" i="64"/>
  <c r="H31" i="64"/>
  <c r="H30" i="64"/>
  <c r="H29" i="64"/>
  <c r="H28" i="64"/>
  <c r="H27" i="64"/>
  <c r="H26" i="64"/>
  <c r="H25" i="64"/>
  <c r="H24" i="64"/>
  <c r="H23" i="64"/>
  <c r="G21" i="64"/>
  <c r="F21" i="64"/>
  <c r="E21" i="64"/>
  <c r="D21" i="64"/>
  <c r="C21" i="64"/>
  <c r="H21" i="64"/>
  <c r="H20" i="64"/>
  <c r="H19" i="64"/>
  <c r="H18" i="64"/>
  <c r="H17" i="64"/>
  <c r="H16" i="64"/>
  <c r="H15" i="64"/>
  <c r="H14" i="64"/>
  <c r="H13" i="64"/>
  <c r="H12" i="64"/>
  <c r="H11" i="64"/>
  <c r="H10" i="64"/>
  <c r="H9" i="64"/>
  <c r="H8" i="64"/>
  <c r="E132" i="63"/>
  <c r="G131" i="63"/>
  <c r="G132" i="63"/>
  <c r="F131" i="63"/>
  <c r="E131" i="63"/>
  <c r="D131" i="63"/>
  <c r="C131" i="63"/>
  <c r="H130" i="63"/>
  <c r="H129" i="63"/>
  <c r="H127" i="63"/>
  <c r="H126" i="63"/>
  <c r="H125" i="63"/>
  <c r="H124" i="63"/>
  <c r="H123" i="63"/>
  <c r="H122" i="63"/>
  <c r="H121" i="63"/>
  <c r="H120" i="63"/>
  <c r="H119" i="63"/>
  <c r="H118" i="63"/>
  <c r="H117" i="63"/>
  <c r="H116" i="63"/>
  <c r="H115" i="63"/>
  <c r="H113" i="63"/>
  <c r="F113" i="63"/>
  <c r="E113" i="63"/>
  <c r="D113" i="63"/>
  <c r="C113" i="63"/>
  <c r="H112" i="63"/>
  <c r="G109" i="63"/>
  <c r="F109" i="63"/>
  <c r="E109" i="63"/>
  <c r="D109" i="63"/>
  <c r="C109" i="63"/>
  <c r="H108" i="63"/>
  <c r="H107" i="63"/>
  <c r="H106" i="63"/>
  <c r="H105" i="63"/>
  <c r="H104" i="63"/>
  <c r="H103" i="63"/>
  <c r="H102" i="63"/>
  <c r="H101" i="63"/>
  <c r="H100" i="63"/>
  <c r="H99" i="63"/>
  <c r="H98" i="63"/>
  <c r="H97" i="63"/>
  <c r="H96" i="63"/>
  <c r="H95" i="63"/>
  <c r="H94" i="63"/>
  <c r="H93" i="63"/>
  <c r="H92" i="63"/>
  <c r="H91" i="63"/>
  <c r="H90" i="63"/>
  <c r="H89" i="63"/>
  <c r="H88" i="63"/>
  <c r="H87" i="63"/>
  <c r="H86" i="63"/>
  <c r="H85" i="63"/>
  <c r="H84" i="63"/>
  <c r="H83" i="63"/>
  <c r="H82" i="63"/>
  <c r="H81" i="63"/>
  <c r="H80" i="63"/>
  <c r="H79" i="63"/>
  <c r="H78" i="63"/>
  <c r="H77" i="63"/>
  <c r="H76" i="63"/>
  <c r="H75" i="63"/>
  <c r="H74" i="63"/>
  <c r="H73" i="63"/>
  <c r="H72" i="63"/>
  <c r="H71" i="63"/>
  <c r="H70" i="63"/>
  <c r="H69" i="63"/>
  <c r="H68" i="63"/>
  <c r="H67" i="63"/>
  <c r="H66" i="63"/>
  <c r="H65" i="63"/>
  <c r="G63" i="63"/>
  <c r="F63" i="63"/>
  <c r="E63" i="63"/>
  <c r="D63" i="63"/>
  <c r="H63" i="63" s="1"/>
  <c r="H132" i="63" s="1"/>
  <c r="C63" i="63"/>
  <c r="H62" i="63"/>
  <c r="H61" i="63"/>
  <c r="H60" i="63"/>
  <c r="H59" i="63"/>
  <c r="H58" i="63"/>
  <c r="H57" i="63"/>
  <c r="H56" i="63"/>
  <c r="H55" i="63"/>
  <c r="H54" i="63"/>
  <c r="H53" i="63"/>
  <c r="H52" i="63"/>
  <c r="H51" i="63"/>
  <c r="H50" i="63"/>
  <c r="H49" i="63"/>
  <c r="H48" i="63"/>
  <c r="H47" i="63"/>
  <c r="H46" i="63"/>
  <c r="H45" i="63"/>
  <c r="H44" i="63"/>
  <c r="H43" i="63"/>
  <c r="H42" i="63"/>
  <c r="H41" i="63"/>
  <c r="H40" i="63"/>
  <c r="H39" i="63"/>
  <c r="H38" i="63"/>
  <c r="H37" i="63"/>
  <c r="H36" i="63"/>
  <c r="H35" i="63"/>
  <c r="H34" i="63"/>
  <c r="H33" i="63"/>
  <c r="H32" i="63"/>
  <c r="H31" i="63"/>
  <c r="H30" i="63"/>
  <c r="H29" i="63"/>
  <c r="H28" i="63"/>
  <c r="H27" i="63"/>
  <c r="H26" i="63"/>
  <c r="H25" i="63"/>
  <c r="H24" i="63"/>
  <c r="H23" i="63"/>
  <c r="G21" i="63"/>
  <c r="F21" i="63"/>
  <c r="E21" i="63"/>
  <c r="D21" i="63"/>
  <c r="C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G132" i="62"/>
  <c r="G131" i="62"/>
  <c r="F131" i="62"/>
  <c r="E131" i="62"/>
  <c r="E132" i="62"/>
  <c r="D131" i="62"/>
  <c r="H131" i="62"/>
  <c r="C131" i="62"/>
  <c r="H130" i="62"/>
  <c r="H129" i="62"/>
  <c r="H127" i="62"/>
  <c r="H126" i="62"/>
  <c r="H125" i="62"/>
  <c r="H124" i="62"/>
  <c r="H123" i="62"/>
  <c r="H122" i="62"/>
  <c r="H121" i="62"/>
  <c r="H120" i="62"/>
  <c r="H119" i="62"/>
  <c r="H118" i="62"/>
  <c r="H117" i="62"/>
  <c r="H116" i="62"/>
  <c r="H115" i="62"/>
  <c r="F113" i="62"/>
  <c r="E113" i="62"/>
  <c r="D113" i="62"/>
  <c r="C113" i="62"/>
  <c r="H112" i="62"/>
  <c r="H113" i="62"/>
  <c r="G109" i="62"/>
  <c r="F109" i="62"/>
  <c r="E109" i="62"/>
  <c r="D109" i="62"/>
  <c r="C109" i="62"/>
  <c r="H108" i="62"/>
  <c r="H107" i="62"/>
  <c r="H106" i="62"/>
  <c r="H105" i="62"/>
  <c r="H104" i="62"/>
  <c r="H103" i="62"/>
  <c r="H102" i="62"/>
  <c r="H101" i="62"/>
  <c r="H100" i="62"/>
  <c r="H99" i="62"/>
  <c r="H98" i="62"/>
  <c r="H97" i="62"/>
  <c r="H96" i="62"/>
  <c r="H95" i="62"/>
  <c r="H94" i="62"/>
  <c r="H93" i="62"/>
  <c r="H92" i="62"/>
  <c r="H91" i="62"/>
  <c r="H90" i="62"/>
  <c r="H89" i="62"/>
  <c r="H88" i="62"/>
  <c r="H87" i="62"/>
  <c r="H86" i="62"/>
  <c r="H85" i="62"/>
  <c r="H84" i="62"/>
  <c r="H83" i="62"/>
  <c r="H82" i="62"/>
  <c r="H81" i="62"/>
  <c r="H80" i="62"/>
  <c r="H79" i="62"/>
  <c r="H78" i="62"/>
  <c r="H77" i="62"/>
  <c r="H76" i="62"/>
  <c r="H75" i="62"/>
  <c r="H74" i="62"/>
  <c r="H73" i="62"/>
  <c r="H72" i="62"/>
  <c r="H71" i="62"/>
  <c r="H70" i="62"/>
  <c r="H69" i="62"/>
  <c r="H68" i="62"/>
  <c r="H67" i="62"/>
  <c r="H66" i="62"/>
  <c r="H65" i="62"/>
  <c r="G63" i="62"/>
  <c r="F63" i="62"/>
  <c r="E63" i="62"/>
  <c r="D63" i="62"/>
  <c r="C63" i="62"/>
  <c r="H62" i="62"/>
  <c r="H61" i="62"/>
  <c r="H60" i="62"/>
  <c r="H59" i="62"/>
  <c r="H58" i="62"/>
  <c r="H57" i="62"/>
  <c r="H56" i="62"/>
  <c r="H55" i="62"/>
  <c r="H54" i="62"/>
  <c r="H53" i="62"/>
  <c r="H52" i="62"/>
  <c r="H51" i="62"/>
  <c r="H50" i="62"/>
  <c r="H49" i="62"/>
  <c r="H48" i="62"/>
  <c r="H47" i="62"/>
  <c r="H46" i="62"/>
  <c r="H45" i="62"/>
  <c r="H44" i="62"/>
  <c r="H43" i="62"/>
  <c r="H42" i="62"/>
  <c r="H41" i="62"/>
  <c r="H40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G21" i="62"/>
  <c r="F21" i="62"/>
  <c r="E21" i="62"/>
  <c r="D21" i="62"/>
  <c r="C21" i="62"/>
  <c r="C132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G131" i="61"/>
  <c r="G132" i="61"/>
  <c r="F131" i="61"/>
  <c r="E131" i="61"/>
  <c r="H131" i="61" s="1"/>
  <c r="D131" i="61"/>
  <c r="C131" i="61"/>
  <c r="H130" i="61"/>
  <c r="H129" i="61"/>
  <c r="H127" i="61"/>
  <c r="H126" i="61"/>
  <c r="H125" i="61"/>
  <c r="H124" i="61"/>
  <c r="H123" i="61"/>
  <c r="H122" i="61"/>
  <c r="H121" i="61"/>
  <c r="H120" i="61"/>
  <c r="H119" i="61"/>
  <c r="H118" i="61"/>
  <c r="H117" i="61"/>
  <c r="H116" i="61"/>
  <c r="H113" i="61"/>
  <c r="F113" i="61"/>
  <c r="E113" i="61"/>
  <c r="D113" i="61"/>
  <c r="C113" i="61"/>
  <c r="H112" i="61"/>
  <c r="G109" i="61"/>
  <c r="F109" i="61"/>
  <c r="E109" i="61"/>
  <c r="D109" i="61"/>
  <c r="C109" i="61"/>
  <c r="H108" i="61"/>
  <c r="H107" i="61"/>
  <c r="H106" i="61"/>
  <c r="H105" i="61"/>
  <c r="H104" i="61"/>
  <c r="H103" i="61"/>
  <c r="H102" i="61"/>
  <c r="H101" i="61"/>
  <c r="H100" i="61"/>
  <c r="H99" i="61"/>
  <c r="H98" i="61"/>
  <c r="H97" i="61"/>
  <c r="H96" i="61"/>
  <c r="H95" i="61"/>
  <c r="H94" i="61"/>
  <c r="H93" i="61"/>
  <c r="H92" i="61"/>
  <c r="H91" i="61"/>
  <c r="H90" i="61"/>
  <c r="H89" i="61"/>
  <c r="H88" i="61"/>
  <c r="H87" i="61"/>
  <c r="H86" i="61"/>
  <c r="H85" i="61"/>
  <c r="H84" i="61"/>
  <c r="H83" i="61"/>
  <c r="H82" i="61"/>
  <c r="H81" i="61"/>
  <c r="H80" i="61"/>
  <c r="H79" i="61"/>
  <c r="H78" i="61"/>
  <c r="H77" i="61"/>
  <c r="H76" i="61"/>
  <c r="H75" i="61"/>
  <c r="H74" i="61"/>
  <c r="H73" i="61"/>
  <c r="H72" i="61"/>
  <c r="H71" i="61"/>
  <c r="H70" i="61"/>
  <c r="H69" i="61"/>
  <c r="H68" i="61"/>
  <c r="H67" i="61"/>
  <c r="H66" i="61"/>
  <c r="H65" i="61"/>
  <c r="G63" i="61"/>
  <c r="F63" i="61"/>
  <c r="E63" i="61"/>
  <c r="D63" i="61"/>
  <c r="D132" i="61" s="1"/>
  <c r="C63" i="61"/>
  <c r="H62" i="61"/>
  <c r="H61" i="61"/>
  <c r="H60" i="61"/>
  <c r="H59" i="61"/>
  <c r="H58" i="61"/>
  <c r="H57" i="61"/>
  <c r="H56" i="61"/>
  <c r="H55" i="61"/>
  <c r="H54" i="61"/>
  <c r="H53" i="61"/>
  <c r="H52" i="61"/>
  <c r="H51" i="61"/>
  <c r="H50" i="61"/>
  <c r="H49" i="61"/>
  <c r="H48" i="61"/>
  <c r="H47" i="61"/>
  <c r="H46" i="61"/>
  <c r="H45" i="61"/>
  <c r="H44" i="61"/>
  <c r="H43" i="61"/>
  <c r="H42" i="61"/>
  <c r="H41" i="61"/>
  <c r="H40" i="61"/>
  <c r="H39" i="61"/>
  <c r="H38" i="61"/>
  <c r="H37" i="61"/>
  <c r="H36" i="61"/>
  <c r="H35" i="61"/>
  <c r="H34" i="61"/>
  <c r="H33" i="61"/>
  <c r="H32" i="61"/>
  <c r="H31" i="61"/>
  <c r="H30" i="61"/>
  <c r="H29" i="61"/>
  <c r="H28" i="61"/>
  <c r="H27" i="61"/>
  <c r="H26" i="61"/>
  <c r="H25" i="61"/>
  <c r="H24" i="61"/>
  <c r="H23" i="61"/>
  <c r="G21" i="61"/>
  <c r="F21" i="61"/>
  <c r="E21" i="61"/>
  <c r="D21" i="61"/>
  <c r="C21" i="61"/>
  <c r="H20" i="61"/>
  <c r="H19" i="61"/>
  <c r="H18" i="61"/>
  <c r="H17" i="61"/>
  <c r="H16" i="61"/>
  <c r="H15" i="61"/>
  <c r="H14" i="61"/>
  <c r="H13" i="61"/>
  <c r="H12" i="61"/>
  <c r="H11" i="61"/>
  <c r="H10" i="61"/>
  <c r="H9" i="61"/>
  <c r="H8" i="61"/>
  <c r="G131" i="60"/>
  <c r="G132" i="60"/>
  <c r="F131" i="60"/>
  <c r="E131" i="60"/>
  <c r="D131" i="60"/>
  <c r="C131" i="60"/>
  <c r="H130" i="60"/>
  <c r="H129" i="60"/>
  <c r="H127" i="60"/>
  <c r="H126" i="60"/>
  <c r="H125" i="60"/>
  <c r="H124" i="60"/>
  <c r="H123" i="60"/>
  <c r="H122" i="60"/>
  <c r="H121" i="60"/>
  <c r="H120" i="60"/>
  <c r="H119" i="60"/>
  <c r="H118" i="60"/>
  <c r="H117" i="60"/>
  <c r="H116" i="60"/>
  <c r="H115" i="60"/>
  <c r="H113" i="60"/>
  <c r="F113" i="60"/>
  <c r="E113" i="60"/>
  <c r="D113" i="60"/>
  <c r="C113" i="60"/>
  <c r="H112" i="60"/>
  <c r="G109" i="60"/>
  <c r="F109" i="60"/>
  <c r="E109" i="60"/>
  <c r="D109" i="60"/>
  <c r="C109" i="60"/>
  <c r="H108" i="60"/>
  <c r="H107" i="60"/>
  <c r="H106" i="60"/>
  <c r="H105" i="60"/>
  <c r="H104" i="60"/>
  <c r="H103" i="60"/>
  <c r="H102" i="60"/>
  <c r="H101" i="60"/>
  <c r="H100" i="60"/>
  <c r="H99" i="60"/>
  <c r="H98" i="60"/>
  <c r="H97" i="60"/>
  <c r="H96" i="60"/>
  <c r="H95" i="60"/>
  <c r="H94" i="60"/>
  <c r="H93" i="60"/>
  <c r="H92" i="60"/>
  <c r="H91" i="60"/>
  <c r="H90" i="60"/>
  <c r="H89" i="60"/>
  <c r="H88" i="60"/>
  <c r="H87" i="60"/>
  <c r="H86" i="60"/>
  <c r="H85" i="60"/>
  <c r="H84" i="60"/>
  <c r="H83" i="60"/>
  <c r="H82" i="60"/>
  <c r="H81" i="60"/>
  <c r="H80" i="60"/>
  <c r="H79" i="60"/>
  <c r="H78" i="60"/>
  <c r="H77" i="60"/>
  <c r="H76" i="60"/>
  <c r="H75" i="60"/>
  <c r="H74" i="60"/>
  <c r="H73" i="60"/>
  <c r="H72" i="60"/>
  <c r="H71" i="60"/>
  <c r="H70" i="60"/>
  <c r="H69" i="60"/>
  <c r="H68" i="60"/>
  <c r="H67" i="60"/>
  <c r="H66" i="60"/>
  <c r="H65" i="60"/>
  <c r="G63" i="60"/>
  <c r="F63" i="60"/>
  <c r="E63" i="60"/>
  <c r="D63" i="60"/>
  <c r="C63" i="60"/>
  <c r="H62" i="60"/>
  <c r="H61" i="60"/>
  <c r="H60" i="60"/>
  <c r="H59" i="60"/>
  <c r="H58" i="60"/>
  <c r="H57" i="60"/>
  <c r="H56" i="60"/>
  <c r="H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G21" i="60"/>
  <c r="F21" i="60"/>
  <c r="E21" i="60"/>
  <c r="D21" i="60"/>
  <c r="C21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G63" i="59"/>
  <c r="G131" i="59"/>
  <c r="G132" i="59" s="1"/>
  <c r="H116" i="59"/>
  <c r="H117" i="59"/>
  <c r="H118" i="59"/>
  <c r="H119" i="59"/>
  <c r="H120" i="59"/>
  <c r="H121" i="59"/>
  <c r="H122" i="59"/>
  <c r="H123" i="59"/>
  <c r="H124" i="59"/>
  <c r="H125" i="59"/>
  <c r="H126" i="59"/>
  <c r="H127" i="59"/>
  <c r="H129" i="59"/>
  <c r="H130" i="59"/>
  <c r="H11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65" i="59"/>
  <c r="H59" i="59"/>
  <c r="H38" i="59"/>
  <c r="H23" i="59"/>
  <c r="G21" i="59"/>
  <c r="H54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5" i="59"/>
  <c r="H56" i="59"/>
  <c r="H57" i="59"/>
  <c r="H58" i="59"/>
  <c r="H60" i="59"/>
  <c r="H61" i="59"/>
  <c r="H62" i="59"/>
  <c r="H9" i="59"/>
  <c r="H10" i="59"/>
  <c r="H11" i="59"/>
  <c r="H12" i="59"/>
  <c r="H13" i="59"/>
  <c r="H14" i="59"/>
  <c r="H15" i="59"/>
  <c r="H16" i="59"/>
  <c r="H17" i="59"/>
  <c r="H18" i="59"/>
  <c r="H19" i="59"/>
  <c r="H20" i="59"/>
  <c r="H8" i="59"/>
  <c r="F131" i="59"/>
  <c r="E131" i="59"/>
  <c r="D131" i="59"/>
  <c r="C131" i="59"/>
  <c r="F113" i="59"/>
  <c r="E113" i="59"/>
  <c r="D113" i="59"/>
  <c r="C113" i="59"/>
  <c r="H112" i="59"/>
  <c r="H113" i="59"/>
  <c r="G109" i="59"/>
  <c r="D109" i="59"/>
  <c r="C109" i="59"/>
  <c r="F109" i="59"/>
  <c r="E109" i="59"/>
  <c r="F63" i="59"/>
  <c r="E63" i="59"/>
  <c r="D63" i="59"/>
  <c r="H63" i="59" s="1"/>
  <c r="C63" i="59"/>
  <c r="F21" i="59"/>
  <c r="E21" i="59"/>
  <c r="H131" i="60"/>
  <c r="G132" i="68"/>
  <c r="F132" i="65"/>
  <c r="F132" i="67"/>
  <c r="G132" i="64"/>
  <c r="H109" i="61"/>
  <c r="F132" i="62"/>
  <c r="H109" i="59"/>
  <c r="H109" i="68"/>
  <c r="F132" i="64"/>
  <c r="H109" i="67"/>
  <c r="H109" i="63"/>
  <c r="F132" i="68"/>
  <c r="F132" i="60"/>
  <c r="F132" i="61"/>
  <c r="H63" i="61"/>
  <c r="F132" i="63"/>
  <c r="H63" i="69"/>
  <c r="F132" i="69"/>
  <c r="E132" i="68"/>
  <c r="D132" i="60"/>
  <c r="H63" i="62"/>
  <c r="H109" i="60"/>
  <c r="D132" i="66"/>
  <c r="D132" i="67"/>
  <c r="D132" i="62"/>
  <c r="H21" i="65"/>
  <c r="H21" i="61"/>
  <c r="H10" i="69"/>
  <c r="D21" i="69"/>
  <c r="H15" i="69"/>
  <c r="H8" i="69"/>
  <c r="H12" i="69"/>
  <c r="H20" i="69"/>
  <c r="C132" i="69"/>
  <c r="C132" i="68"/>
  <c r="C132" i="65"/>
  <c r="C132" i="67"/>
  <c r="C132" i="66"/>
  <c r="C132" i="64"/>
  <c r="H21" i="63"/>
  <c r="C132" i="63"/>
  <c r="H21" i="62"/>
  <c r="C132" i="61"/>
  <c r="H131" i="69"/>
  <c r="H131" i="68"/>
  <c r="H131" i="67"/>
  <c r="H131" i="66"/>
  <c r="H131" i="64"/>
  <c r="H131" i="63"/>
  <c r="H109" i="62"/>
  <c r="C132" i="60"/>
  <c r="C132" i="59"/>
  <c r="C21" i="59"/>
  <c r="H21" i="59"/>
  <c r="D21" i="59"/>
  <c r="G109" i="57"/>
  <c r="C30" i="58"/>
  <c r="D21" i="47"/>
  <c r="H84" i="57"/>
  <c r="J84" i="70" s="1"/>
  <c r="C12" i="49"/>
  <c r="D28" i="47"/>
  <c r="D23" i="47"/>
  <c r="D18" i="47"/>
  <c r="D13" i="47"/>
  <c r="C59" i="51"/>
  <c r="C57" i="51"/>
  <c r="C54" i="51"/>
  <c r="C53" i="51"/>
  <c r="H121" i="57"/>
  <c r="F117" i="51" s="1"/>
  <c r="C117" i="51" s="1"/>
  <c r="F131" i="57"/>
  <c r="F132" i="57" s="1"/>
  <c r="F97" i="57"/>
  <c r="E95" i="51" s="1"/>
  <c r="N95" i="51"/>
  <c r="H116" i="57"/>
  <c r="F112" i="51" s="1"/>
  <c r="C112" i="51" s="1"/>
  <c r="H119" i="57"/>
  <c r="F115" i="51"/>
  <c r="C115" i="51" s="1"/>
  <c r="O126" i="51"/>
  <c r="N126" i="51"/>
  <c r="M126" i="51"/>
  <c r="L126" i="51"/>
  <c r="K126" i="51"/>
  <c r="J126" i="51"/>
  <c r="I126" i="51"/>
  <c r="H126" i="51"/>
  <c r="G126" i="51"/>
  <c r="E126" i="51"/>
  <c r="D126" i="51"/>
  <c r="O110" i="51"/>
  <c r="N110" i="51"/>
  <c r="M110" i="51"/>
  <c r="L110" i="51"/>
  <c r="K110" i="51"/>
  <c r="J110" i="51"/>
  <c r="I110" i="51"/>
  <c r="H110" i="51"/>
  <c r="G110" i="51"/>
  <c r="F110" i="51"/>
  <c r="E110" i="51"/>
  <c r="D110" i="51"/>
  <c r="C109" i="51"/>
  <c r="C108" i="51"/>
  <c r="C110" i="51"/>
  <c r="C106" i="51"/>
  <c r="C105" i="51"/>
  <c r="C104" i="51"/>
  <c r="C103" i="51"/>
  <c r="C102" i="51"/>
  <c r="C101" i="51"/>
  <c r="C98" i="51"/>
  <c r="C97" i="51"/>
  <c r="C96" i="51"/>
  <c r="C94" i="51"/>
  <c r="C93" i="51"/>
  <c r="C92" i="51"/>
  <c r="C91" i="51"/>
  <c r="C90" i="51"/>
  <c r="C89" i="51"/>
  <c r="C88" i="51"/>
  <c r="C87" i="51"/>
  <c r="C86" i="51"/>
  <c r="C85" i="51"/>
  <c r="C84" i="51"/>
  <c r="C80" i="51"/>
  <c r="C79" i="51"/>
  <c r="C78" i="51"/>
  <c r="C77" i="51"/>
  <c r="C75" i="51"/>
  <c r="C74" i="51"/>
  <c r="C72" i="51"/>
  <c r="C70" i="51"/>
  <c r="C69" i="51"/>
  <c r="C67" i="51"/>
  <c r="C65" i="51"/>
  <c r="C64" i="51"/>
  <c r="C29" i="51"/>
  <c r="C28" i="51"/>
  <c r="C27" i="51"/>
  <c r="C26" i="51"/>
  <c r="C24" i="51"/>
  <c r="C22" i="51"/>
  <c r="F75" i="57"/>
  <c r="H75" i="57" s="1"/>
  <c r="H53" i="57"/>
  <c r="C81" i="51"/>
  <c r="D10" i="57"/>
  <c r="C8" i="57"/>
  <c r="H8" i="57" s="1"/>
  <c r="C13" i="57"/>
  <c r="F80" i="57"/>
  <c r="E63" i="57"/>
  <c r="F113" i="57"/>
  <c r="F63" i="57"/>
  <c r="D66" i="57"/>
  <c r="C20" i="57"/>
  <c r="C16" i="57"/>
  <c r="H16" i="57" s="1"/>
  <c r="C15" i="57"/>
  <c r="C14" i="57"/>
  <c r="C12" i="57"/>
  <c r="H12" i="57" s="1"/>
  <c r="J12" i="70" s="1"/>
  <c r="C11" i="57"/>
  <c r="C10" i="57"/>
  <c r="H130" i="57"/>
  <c r="F125" i="51"/>
  <c r="C125" i="51" s="1"/>
  <c r="H129" i="57"/>
  <c r="F124" i="51" s="1"/>
  <c r="C124" i="51" s="1"/>
  <c r="H127" i="57"/>
  <c r="F123" i="51"/>
  <c r="C123" i="51" s="1"/>
  <c r="H126" i="57"/>
  <c r="F122" i="51" s="1"/>
  <c r="C122" i="51" s="1"/>
  <c r="H125" i="57"/>
  <c r="F121" i="51" s="1"/>
  <c r="C121" i="51" s="1"/>
  <c r="H124" i="57"/>
  <c r="F120" i="51"/>
  <c r="C120" i="51" s="1"/>
  <c r="H123" i="57"/>
  <c r="F119" i="51" s="1"/>
  <c r="C119" i="51" s="1"/>
  <c r="H122" i="57"/>
  <c r="F118" i="51" s="1"/>
  <c r="C118" i="51" s="1"/>
  <c r="H120" i="57"/>
  <c r="F116" i="51"/>
  <c r="C116" i="51" s="1"/>
  <c r="H118" i="57"/>
  <c r="F114" i="51" s="1"/>
  <c r="C114" i="51" s="1"/>
  <c r="H117" i="57"/>
  <c r="H115" i="57"/>
  <c r="F111" i="51" s="1"/>
  <c r="C111" i="51" s="1"/>
  <c r="H111" i="57"/>
  <c r="H108" i="57"/>
  <c r="H107" i="57"/>
  <c r="H106" i="57"/>
  <c r="H105" i="57"/>
  <c r="H104" i="57"/>
  <c r="H103" i="57"/>
  <c r="H102" i="57"/>
  <c r="F100" i="51" s="1"/>
  <c r="H101" i="57"/>
  <c r="H100" i="57"/>
  <c r="H99" i="57"/>
  <c r="J99" i="70" s="1"/>
  <c r="H98" i="57"/>
  <c r="H97" i="57"/>
  <c r="H96" i="57"/>
  <c r="H95" i="57"/>
  <c r="H94" i="57"/>
  <c r="H93" i="57"/>
  <c r="H92" i="57"/>
  <c r="J92" i="70" s="1"/>
  <c r="H91" i="57"/>
  <c r="H90" i="57"/>
  <c r="H89" i="57"/>
  <c r="H88" i="57"/>
  <c r="H87" i="57"/>
  <c r="H86" i="57"/>
  <c r="H85" i="57"/>
  <c r="G82" i="51"/>
  <c r="H83" i="57"/>
  <c r="H82" i="57"/>
  <c r="H81" i="57"/>
  <c r="H80" i="57"/>
  <c r="H79" i="57"/>
  <c r="H78" i="57"/>
  <c r="H77" i="57"/>
  <c r="H76" i="57"/>
  <c r="H74" i="57"/>
  <c r="H73" i="57"/>
  <c r="L71" i="51" s="1"/>
  <c r="H72" i="57"/>
  <c r="H71" i="57"/>
  <c r="H70" i="57"/>
  <c r="F68" i="51" s="1"/>
  <c r="H69" i="57"/>
  <c r="J69" i="70" s="1"/>
  <c r="H68" i="57"/>
  <c r="E66" i="51" s="1"/>
  <c r="H67" i="57"/>
  <c r="H66" i="57"/>
  <c r="H65" i="57"/>
  <c r="N63" i="51" s="1"/>
  <c r="H62" i="57"/>
  <c r="L61" i="51" s="1"/>
  <c r="H61" i="57"/>
  <c r="D60" i="51" s="1"/>
  <c r="H60" i="57"/>
  <c r="H59" i="57"/>
  <c r="J59" i="70" s="1"/>
  <c r="H58" i="57"/>
  <c r="H57" i="57"/>
  <c r="M56" i="51" s="1"/>
  <c r="H56" i="57"/>
  <c r="D55" i="51"/>
  <c r="H55" i="57"/>
  <c r="J55" i="70" s="1"/>
  <c r="H54" i="57"/>
  <c r="H52" i="57"/>
  <c r="J51" i="51"/>
  <c r="H51" i="57"/>
  <c r="M50" i="51" s="1"/>
  <c r="H50" i="57"/>
  <c r="D49" i="51" s="1"/>
  <c r="H49" i="57"/>
  <c r="K48" i="51" s="1"/>
  <c r="H48" i="57"/>
  <c r="O47" i="51" s="1"/>
  <c r="H47" i="57"/>
  <c r="E46" i="51" s="1"/>
  <c r="H46" i="57"/>
  <c r="E45" i="51" s="1"/>
  <c r="H45" i="57"/>
  <c r="J45" i="70" s="1"/>
  <c r="H44" i="57"/>
  <c r="H43" i="51" s="1"/>
  <c r="H43" i="57"/>
  <c r="L42" i="51" s="1"/>
  <c r="H42" i="57"/>
  <c r="O41" i="51" s="1"/>
  <c r="H41" i="57"/>
  <c r="L40" i="51" s="1"/>
  <c r="H40" i="57"/>
  <c r="J40" i="70" s="1"/>
  <c r="H39" i="57"/>
  <c r="J38" i="51" s="1"/>
  <c r="H38" i="57"/>
  <c r="L37" i="51" s="1"/>
  <c r="H37" i="57"/>
  <c r="H36" i="57"/>
  <c r="L35" i="51" s="1"/>
  <c r="H35" i="57"/>
  <c r="J34" i="51" s="1"/>
  <c r="H34" i="57"/>
  <c r="L33" i="51" s="1"/>
  <c r="H33" i="57"/>
  <c r="K32" i="51" s="1"/>
  <c r="H32" i="57"/>
  <c r="M31" i="51" s="1"/>
  <c r="H31" i="57"/>
  <c r="H30" i="57"/>
  <c r="H29" i="57"/>
  <c r="H28" i="57"/>
  <c r="H27" i="57"/>
  <c r="H26" i="57"/>
  <c r="G25" i="51" s="1"/>
  <c r="H25" i="57"/>
  <c r="H24" i="57"/>
  <c r="N23" i="51" s="1"/>
  <c r="H23" i="57"/>
  <c r="H9" i="57"/>
  <c r="E9" i="51" s="1"/>
  <c r="H13" i="57"/>
  <c r="L13" i="51" s="1"/>
  <c r="H14" i="57"/>
  <c r="G14" i="51" s="1"/>
  <c r="H15" i="57"/>
  <c r="L15" i="51" s="1"/>
  <c r="H17" i="57"/>
  <c r="N17" i="51" s="1"/>
  <c r="H18" i="57"/>
  <c r="H19" i="57"/>
  <c r="L19" i="51" s="1"/>
  <c r="C19" i="51" s="1"/>
  <c r="H20" i="57"/>
  <c r="J20" i="51" s="1"/>
  <c r="F109" i="57"/>
  <c r="E113" i="57"/>
  <c r="D109" i="57"/>
  <c r="D63" i="57"/>
  <c r="D131" i="57"/>
  <c r="C131" i="57"/>
  <c r="C63" i="57"/>
  <c r="C132" i="57"/>
  <c r="C109" i="57"/>
  <c r="E131" i="57"/>
  <c r="F21" i="57"/>
  <c r="E21" i="57"/>
  <c r="H10" i="57"/>
  <c r="O68" i="51"/>
  <c r="E82" i="51"/>
  <c r="H95" i="51"/>
  <c r="D29" i="47"/>
  <c r="K68" i="51"/>
  <c r="O95" i="51"/>
  <c r="G95" i="51"/>
  <c r="K66" i="51"/>
  <c r="H68" i="51"/>
  <c r="E71" i="51"/>
  <c r="I82" i="51"/>
  <c r="K95" i="51"/>
  <c r="H99" i="51"/>
  <c r="H13" i="51"/>
  <c r="N13" i="51"/>
  <c r="O13" i="51"/>
  <c r="F13" i="51"/>
  <c r="G13" i="51"/>
  <c r="D13" i="51"/>
  <c r="F113" i="51"/>
  <c r="C113" i="51" s="1"/>
  <c r="H11" i="57"/>
  <c r="C21" i="57"/>
  <c r="D21" i="57"/>
  <c r="E109" i="57"/>
  <c r="D71" i="51"/>
  <c r="N83" i="51"/>
  <c r="H83" i="51"/>
  <c r="E83" i="51"/>
  <c r="I83" i="51"/>
  <c r="G83" i="51"/>
  <c r="O83" i="51"/>
  <c r="J99" i="51"/>
  <c r="N99" i="51"/>
  <c r="O99" i="51"/>
  <c r="E99" i="51"/>
  <c r="I99" i="51"/>
  <c r="F9" i="51"/>
  <c r="N9" i="51"/>
  <c r="D9" i="51"/>
  <c r="F33" i="51"/>
  <c r="J37" i="51"/>
  <c r="M45" i="51"/>
  <c r="M49" i="51"/>
  <c r="I49" i="51"/>
  <c r="F49" i="51"/>
  <c r="L49" i="51"/>
  <c r="H49" i="51"/>
  <c r="E49" i="51"/>
  <c r="O49" i="51"/>
  <c r="N49" i="51"/>
  <c r="G49" i="51"/>
  <c r="K49" i="51"/>
  <c r="J49" i="51"/>
  <c r="L58" i="51"/>
  <c r="E63" i="51"/>
  <c r="G71" i="51"/>
  <c r="J71" i="51"/>
  <c r="N71" i="51"/>
  <c r="H71" i="51"/>
  <c r="K71" i="51"/>
  <c r="O71" i="51"/>
  <c r="F71" i="51"/>
  <c r="I71" i="51"/>
  <c r="M71" i="51"/>
  <c r="F83" i="51"/>
  <c r="L99" i="51"/>
  <c r="J13" i="51"/>
  <c r="F18" i="51"/>
  <c r="N18" i="51"/>
  <c r="N32" i="51"/>
  <c r="G32" i="51"/>
  <c r="M32" i="51"/>
  <c r="J32" i="51"/>
  <c r="F32" i="51"/>
  <c r="D32" i="51"/>
  <c r="I32" i="51"/>
  <c r="O32" i="51"/>
  <c r="H32" i="51"/>
  <c r="L32" i="51"/>
  <c r="E32" i="51"/>
  <c r="N36" i="51"/>
  <c r="J36" i="51"/>
  <c r="M36" i="51"/>
  <c r="I36" i="51"/>
  <c r="E36" i="51"/>
  <c r="O36" i="51"/>
  <c r="G36" i="51"/>
  <c r="L36" i="51"/>
  <c r="G40" i="51"/>
  <c r="I40" i="51"/>
  <c r="D40" i="51"/>
  <c r="L44" i="51"/>
  <c r="G44" i="51"/>
  <c r="F44" i="51"/>
  <c r="L48" i="51"/>
  <c r="O61" i="51"/>
  <c r="G61" i="51"/>
  <c r="N52" i="51"/>
  <c r="J52" i="51"/>
  <c r="F52" i="51"/>
  <c r="M52" i="51"/>
  <c r="I52" i="51"/>
  <c r="E52" i="51"/>
  <c r="L52" i="51"/>
  <c r="K52" i="51"/>
  <c r="H52" i="51"/>
  <c r="D52" i="51"/>
  <c r="H66" i="51"/>
  <c r="D68" i="51"/>
  <c r="L68" i="51"/>
  <c r="E68" i="51"/>
  <c r="D82" i="51"/>
  <c r="F82" i="51"/>
  <c r="F20" i="51"/>
  <c r="G20" i="51"/>
  <c r="K20" i="51"/>
  <c r="K30" i="51"/>
  <c r="G30" i="51"/>
  <c r="I30" i="51"/>
  <c r="D30" i="51"/>
  <c r="H30" i="51"/>
  <c r="L34" i="51"/>
  <c r="N34" i="51"/>
  <c r="N38" i="51"/>
  <c r="I38" i="51"/>
  <c r="O38" i="51"/>
  <c r="K42" i="51"/>
  <c r="G42" i="51"/>
  <c r="N42" i="51"/>
  <c r="F42" i="51"/>
  <c r="I42" i="51"/>
  <c r="D42" i="51"/>
  <c r="M42" i="51"/>
  <c r="E42" i="51"/>
  <c r="L46" i="51"/>
  <c r="H46" i="51"/>
  <c r="O46" i="51"/>
  <c r="K46" i="51"/>
  <c r="G46" i="51"/>
  <c r="J46" i="51"/>
  <c r="D46" i="51"/>
  <c r="I46" i="51"/>
  <c r="N46" i="51"/>
  <c r="F46" i="51"/>
  <c r="E50" i="51"/>
  <c r="L55" i="51"/>
  <c r="H55" i="51"/>
  <c r="E55" i="51"/>
  <c r="O55" i="51"/>
  <c r="K55" i="51"/>
  <c r="G55" i="51"/>
  <c r="N55" i="51"/>
  <c r="J55" i="51"/>
  <c r="F55" i="51"/>
  <c r="M55" i="51"/>
  <c r="J66" i="51"/>
  <c r="N68" i="51"/>
  <c r="J68" i="51"/>
  <c r="G68" i="51"/>
  <c r="H82" i="51"/>
  <c r="M95" i="51"/>
  <c r="J95" i="51"/>
  <c r="F95" i="51"/>
  <c r="L30" i="51"/>
  <c r="M46" i="51"/>
  <c r="G52" i="51"/>
  <c r="I55" i="51"/>
  <c r="G15" i="51"/>
  <c r="J23" i="51"/>
  <c r="H23" i="51"/>
  <c r="G31" i="51"/>
  <c r="E31" i="51"/>
  <c r="H35" i="51"/>
  <c r="K43" i="51"/>
  <c r="F43" i="51"/>
  <c r="D43" i="51"/>
  <c r="E47" i="51"/>
  <c r="N47" i="51"/>
  <c r="J47" i="51"/>
  <c r="M51" i="51"/>
  <c r="I51" i="51"/>
  <c r="L51" i="51"/>
  <c r="H51" i="51"/>
  <c r="E51" i="51"/>
  <c r="O51" i="51"/>
  <c r="G51" i="51"/>
  <c r="N51" i="51"/>
  <c r="F51" i="51"/>
  <c r="D51" i="51"/>
  <c r="K51" i="51"/>
  <c r="I56" i="51"/>
  <c r="E56" i="51"/>
  <c r="L56" i="51"/>
  <c r="O56" i="51"/>
  <c r="K56" i="51"/>
  <c r="G56" i="51"/>
  <c r="D56" i="51"/>
  <c r="F56" i="51"/>
  <c r="O60" i="51"/>
  <c r="F60" i="51"/>
  <c r="M68" i="51"/>
  <c r="I68" i="51"/>
  <c r="K76" i="51"/>
  <c r="D95" i="51"/>
  <c r="L95" i="51"/>
  <c r="I95" i="51"/>
  <c r="H20" i="51"/>
  <c r="E18" i="51"/>
  <c r="H31" i="51"/>
  <c r="K36" i="51"/>
  <c r="O52" i="51"/>
  <c r="N56" i="51"/>
  <c r="J121" i="70" l="1"/>
  <c r="F39" i="51"/>
  <c r="E39" i="51"/>
  <c r="J43" i="70"/>
  <c r="J42" i="70"/>
  <c r="J46" i="70"/>
  <c r="J118" i="70"/>
  <c r="G100" i="51"/>
  <c r="J102" i="70"/>
  <c r="I58" i="51"/>
  <c r="G58" i="51"/>
  <c r="J20" i="70"/>
  <c r="E132" i="57"/>
  <c r="H63" i="67"/>
  <c r="E132" i="67"/>
  <c r="H63" i="65"/>
  <c r="H132" i="70"/>
  <c r="J113" i="70"/>
  <c r="J111" i="70"/>
  <c r="H63" i="68"/>
  <c r="H132" i="68" s="1"/>
  <c r="H132" i="65"/>
  <c r="H132" i="67"/>
  <c r="H63" i="64"/>
  <c r="D132" i="63"/>
  <c r="D132" i="59"/>
  <c r="H109" i="69"/>
  <c r="H132" i="64"/>
  <c r="G16" i="51"/>
  <c r="K16" i="51"/>
  <c r="F16" i="51"/>
  <c r="J16" i="51"/>
  <c r="O16" i="51"/>
  <c r="H16" i="51"/>
  <c r="I16" i="51"/>
  <c r="N16" i="51"/>
  <c r="D16" i="51"/>
  <c r="E16" i="51"/>
  <c r="M16" i="51"/>
  <c r="L16" i="51"/>
  <c r="G8" i="51"/>
  <c r="M8" i="51"/>
  <c r="L8" i="51"/>
  <c r="H8" i="51"/>
  <c r="J8" i="51"/>
  <c r="I8" i="51"/>
  <c r="D8" i="51"/>
  <c r="N8" i="51"/>
  <c r="O8" i="51"/>
  <c r="E8" i="51"/>
  <c r="F8" i="51"/>
  <c r="L73" i="51"/>
  <c r="E73" i="51"/>
  <c r="L12" i="51"/>
  <c r="G12" i="51"/>
  <c r="C95" i="51"/>
  <c r="H100" i="51"/>
  <c r="I66" i="51"/>
  <c r="D47" i="51"/>
  <c r="G47" i="51"/>
  <c r="H47" i="51"/>
  <c r="E43" i="51"/>
  <c r="J43" i="51"/>
  <c r="O43" i="51"/>
  <c r="N66" i="51"/>
  <c r="L66" i="51"/>
  <c r="F61" i="51"/>
  <c r="J61" i="51"/>
  <c r="E61" i="51"/>
  <c r="E40" i="51"/>
  <c r="F40" i="51"/>
  <c r="K40" i="51"/>
  <c r="O33" i="51"/>
  <c r="G33" i="51"/>
  <c r="L9" i="51"/>
  <c r="J9" i="51"/>
  <c r="G66" i="51"/>
  <c r="J100" i="51"/>
  <c r="O66" i="51"/>
  <c r="D61" i="51"/>
  <c r="M100" i="51"/>
  <c r="M66" i="51"/>
  <c r="C51" i="51"/>
  <c r="M47" i="51"/>
  <c r="K47" i="51"/>
  <c r="L47" i="51"/>
  <c r="L43" i="51"/>
  <c r="N43" i="51"/>
  <c r="I100" i="51"/>
  <c r="O100" i="51"/>
  <c r="L100" i="51"/>
  <c r="D66" i="51"/>
  <c r="I61" i="51"/>
  <c r="N61" i="51"/>
  <c r="H61" i="51"/>
  <c r="M40" i="51"/>
  <c r="J40" i="51"/>
  <c r="O40" i="51"/>
  <c r="L14" i="51"/>
  <c r="H37" i="51"/>
  <c r="H33" i="51"/>
  <c r="I25" i="51"/>
  <c r="O9" i="51"/>
  <c r="M9" i="51"/>
  <c r="E100" i="51"/>
  <c r="C126" i="51"/>
  <c r="I47" i="51"/>
  <c r="F47" i="51"/>
  <c r="I43" i="51"/>
  <c r="M43" i="51"/>
  <c r="G43" i="51"/>
  <c r="N100" i="51"/>
  <c r="C100" i="51" s="1"/>
  <c r="F66" i="51"/>
  <c r="K100" i="51"/>
  <c r="O50" i="51"/>
  <c r="C82" i="51"/>
  <c r="C52" i="51"/>
  <c r="M61" i="51"/>
  <c r="K61" i="51"/>
  <c r="H40" i="51"/>
  <c r="N40" i="51"/>
  <c r="C32" i="51"/>
  <c r="N14" i="51"/>
  <c r="F37" i="51"/>
  <c r="H9" i="51"/>
  <c r="I9" i="51"/>
  <c r="D100" i="51"/>
  <c r="E132" i="61"/>
  <c r="H132" i="61"/>
  <c r="H109" i="66"/>
  <c r="H132" i="66" s="1"/>
  <c r="E132" i="65"/>
  <c r="E132" i="60"/>
  <c r="H63" i="60"/>
  <c r="H132" i="60" s="1"/>
  <c r="E132" i="64"/>
  <c r="H132" i="62"/>
  <c r="H21" i="69"/>
  <c r="D132" i="69"/>
  <c r="D132" i="65"/>
  <c r="E132" i="59"/>
  <c r="H131" i="59"/>
  <c r="H132" i="59" s="1"/>
  <c r="F132" i="59"/>
  <c r="L31" i="51"/>
  <c r="J31" i="51"/>
  <c r="O23" i="51"/>
  <c r="O15" i="51"/>
  <c r="M15" i="51"/>
  <c r="D38" i="51"/>
  <c r="M38" i="51"/>
  <c r="K34" i="51"/>
  <c r="H34" i="51"/>
  <c r="F34" i="51"/>
  <c r="D12" i="51"/>
  <c r="M12" i="51"/>
  <c r="E12" i="51"/>
  <c r="F48" i="51"/>
  <c r="G48" i="51"/>
  <c r="I48" i="51"/>
  <c r="N44" i="51"/>
  <c r="K44" i="51"/>
  <c r="D63" i="51"/>
  <c r="F58" i="51"/>
  <c r="K58" i="51"/>
  <c r="H41" i="51"/>
  <c r="M44" i="51"/>
  <c r="D15" i="51"/>
  <c r="N31" i="51"/>
  <c r="G23" i="51"/>
  <c r="K15" i="51"/>
  <c r="I15" i="51"/>
  <c r="E44" i="51"/>
  <c r="L38" i="51"/>
  <c r="H38" i="51"/>
  <c r="F38" i="51"/>
  <c r="D34" i="51"/>
  <c r="O34" i="51"/>
  <c r="I34" i="51"/>
  <c r="N12" i="51"/>
  <c r="I12" i="51"/>
  <c r="E15" i="51"/>
  <c r="C68" i="51"/>
  <c r="O48" i="51"/>
  <c r="M48" i="51"/>
  <c r="I44" i="51"/>
  <c r="O44" i="51"/>
  <c r="D58" i="51"/>
  <c r="J58" i="51"/>
  <c r="O58" i="51"/>
  <c r="C49" i="51"/>
  <c r="G41" i="51"/>
  <c r="H12" i="51"/>
  <c r="M23" i="51"/>
  <c r="F31" i="51"/>
  <c r="O12" i="51"/>
  <c r="I31" i="51"/>
  <c r="L23" i="51"/>
  <c r="N15" i="51"/>
  <c r="K38" i="51"/>
  <c r="C55" i="51"/>
  <c r="G38" i="51"/>
  <c r="E38" i="51"/>
  <c r="G34" i="51"/>
  <c r="E34" i="51"/>
  <c r="M34" i="51"/>
  <c r="J12" i="51"/>
  <c r="F12" i="51"/>
  <c r="D44" i="51"/>
  <c r="J44" i="51"/>
  <c r="H44" i="51"/>
  <c r="G63" i="51"/>
  <c r="E58" i="51"/>
  <c r="N58" i="51"/>
  <c r="H58" i="51"/>
  <c r="H131" i="57"/>
  <c r="J131" i="70" s="1"/>
  <c r="K8" i="51"/>
  <c r="K12" i="51"/>
  <c r="M58" i="51"/>
  <c r="C58" i="51"/>
  <c r="C46" i="51"/>
  <c r="K45" i="51"/>
  <c r="D45" i="51"/>
  <c r="O45" i="51"/>
  <c r="F45" i="51"/>
  <c r="H39" i="51"/>
  <c r="J39" i="51"/>
  <c r="L39" i="51"/>
  <c r="D39" i="51"/>
  <c r="I39" i="51"/>
  <c r="N39" i="51"/>
  <c r="G39" i="51"/>
  <c r="K39" i="51"/>
  <c r="M39" i="51"/>
  <c r="O39" i="51"/>
  <c r="L25" i="51"/>
  <c r="N25" i="51"/>
  <c r="E25" i="51"/>
  <c r="H25" i="51"/>
  <c r="J25" i="51"/>
  <c r="M25" i="51"/>
  <c r="O25" i="51"/>
  <c r="H63" i="57"/>
  <c r="J63" i="70" s="1"/>
  <c r="C71" i="51"/>
  <c r="D132" i="57"/>
  <c r="H21" i="57"/>
  <c r="K17" i="51"/>
  <c r="M17" i="51"/>
  <c r="E17" i="51"/>
  <c r="D17" i="51"/>
  <c r="G17" i="51"/>
  <c r="I17" i="51"/>
  <c r="F17" i="51"/>
  <c r="L17" i="51"/>
  <c r="K13" i="51"/>
  <c r="D18" i="51"/>
  <c r="K18" i="51"/>
  <c r="H18" i="51"/>
  <c r="L18" i="51"/>
  <c r="O76" i="51"/>
  <c r="I76" i="51"/>
  <c r="H76" i="51"/>
  <c r="N76" i="51"/>
  <c r="F73" i="51"/>
  <c r="K73" i="51"/>
  <c r="D73" i="51"/>
  <c r="I73" i="51"/>
  <c r="D76" i="51"/>
  <c r="J60" i="51"/>
  <c r="L60" i="51"/>
  <c r="O35" i="51"/>
  <c r="D50" i="51"/>
  <c r="I50" i="51"/>
  <c r="E14" i="51"/>
  <c r="J18" i="51"/>
  <c r="K63" i="51"/>
  <c r="H109" i="57"/>
  <c r="J109" i="70" s="1"/>
  <c r="D41" i="51"/>
  <c r="J41" i="51"/>
  <c r="O11" i="51"/>
  <c r="C11" i="51" s="1"/>
  <c r="M76" i="51"/>
  <c r="N33" i="51"/>
  <c r="I33" i="51"/>
  <c r="D33" i="51"/>
  <c r="M33" i="51"/>
  <c r="K33" i="51"/>
  <c r="E48" i="51"/>
  <c r="J48" i="51"/>
  <c r="N48" i="51"/>
  <c r="M14" i="51"/>
  <c r="D14" i="51"/>
  <c r="I14" i="51"/>
  <c r="N35" i="51"/>
  <c r="I35" i="51"/>
  <c r="E35" i="51"/>
  <c r="G35" i="51"/>
  <c r="J73" i="51"/>
  <c r="O73" i="51"/>
  <c r="F50" i="51"/>
  <c r="D35" i="51"/>
  <c r="J14" i="51"/>
  <c r="L76" i="51"/>
  <c r="O18" i="51"/>
  <c r="O37" i="51"/>
  <c r="N37" i="51"/>
  <c r="I37" i="51"/>
  <c r="K37" i="51"/>
  <c r="G37" i="51"/>
  <c r="E37" i="51"/>
  <c r="F63" i="51"/>
  <c r="J63" i="51"/>
  <c r="L63" i="51"/>
  <c r="I63" i="51"/>
  <c r="O63" i="51"/>
  <c r="K41" i="51"/>
  <c r="M41" i="51"/>
  <c r="I41" i="51"/>
  <c r="N41" i="51"/>
  <c r="L41" i="51"/>
  <c r="L50" i="51"/>
  <c r="J50" i="51"/>
  <c r="N50" i="51"/>
  <c r="H60" i="51"/>
  <c r="N60" i="51"/>
  <c r="E60" i="51"/>
  <c r="M73" i="51"/>
  <c r="H73" i="51"/>
  <c r="G60" i="51"/>
  <c r="J35" i="51"/>
  <c r="J76" i="51"/>
  <c r="K50" i="51"/>
  <c r="K14" i="51"/>
  <c r="M18" i="51"/>
  <c r="E41" i="51"/>
  <c r="I20" i="51"/>
  <c r="N20" i="51"/>
  <c r="E20" i="51"/>
  <c r="E30" i="51"/>
  <c r="O30" i="51"/>
  <c r="J30" i="51"/>
  <c r="M30" i="51"/>
  <c r="N73" i="51"/>
  <c r="G73" i="51"/>
  <c r="F126" i="51"/>
  <c r="M60" i="51"/>
  <c r="F14" i="51"/>
  <c r="I60" i="51"/>
  <c r="K60" i="51"/>
  <c r="K35" i="51"/>
  <c r="M35" i="51"/>
  <c r="L20" i="51"/>
  <c r="G76" i="51"/>
  <c r="G50" i="51"/>
  <c r="H50" i="51"/>
  <c r="F30" i="51"/>
  <c r="N30" i="51"/>
  <c r="O20" i="51"/>
  <c r="M20" i="51"/>
  <c r="E76" i="51"/>
  <c r="E107" i="51" s="1"/>
  <c r="D48" i="51"/>
  <c r="H48" i="51"/>
  <c r="O14" i="51"/>
  <c r="H14" i="51"/>
  <c r="G18" i="51"/>
  <c r="I18" i="51"/>
  <c r="M63" i="51"/>
  <c r="H63" i="51"/>
  <c r="H107" i="51" s="1"/>
  <c r="F41" i="51"/>
  <c r="D37" i="51"/>
  <c r="M37" i="51"/>
  <c r="E33" i="51"/>
  <c r="J33" i="51"/>
  <c r="F35" i="51"/>
  <c r="D20" i="51"/>
  <c r="F76" i="51"/>
  <c r="D31" i="51"/>
  <c r="K31" i="51"/>
  <c r="O31" i="51"/>
  <c r="F99" i="51"/>
  <c r="K99" i="51"/>
  <c r="M99" i="51"/>
  <c r="G99" i="51"/>
  <c r="D99" i="51"/>
  <c r="O10" i="51"/>
  <c r="F10" i="51"/>
  <c r="I23" i="51"/>
  <c r="E23" i="51"/>
  <c r="H45" i="51"/>
  <c r="N45" i="51"/>
  <c r="J45" i="51"/>
  <c r="J83" i="51"/>
  <c r="L83" i="51"/>
  <c r="M83" i="51"/>
  <c r="H15" i="51"/>
  <c r="J56" i="51"/>
  <c r="H56" i="51"/>
  <c r="C56" i="51" s="1"/>
  <c r="D23" i="51"/>
  <c r="K23" i="51"/>
  <c r="F23" i="51"/>
  <c r="J15" i="51"/>
  <c r="F15" i="51"/>
  <c r="H42" i="51"/>
  <c r="J42" i="51"/>
  <c r="O42" i="51"/>
  <c r="D36" i="51"/>
  <c r="H36" i="51"/>
  <c r="F36" i="51"/>
  <c r="I45" i="51"/>
  <c r="G45" i="51"/>
  <c r="L45" i="51"/>
  <c r="K83" i="51"/>
  <c r="D83" i="51"/>
  <c r="H17" i="51"/>
  <c r="J17" i="51"/>
  <c r="O17" i="51"/>
  <c r="E13" i="51"/>
  <c r="I13" i="51"/>
  <c r="M13" i="51"/>
  <c r="G9" i="51"/>
  <c r="K9" i="51"/>
  <c r="F25" i="51"/>
  <c r="K25" i="51"/>
  <c r="D25" i="51"/>
  <c r="C40" i="51" l="1"/>
  <c r="C43" i="51"/>
  <c r="C61" i="51"/>
  <c r="I107" i="51"/>
  <c r="C47" i="51"/>
  <c r="C8" i="51"/>
  <c r="C44" i="51"/>
  <c r="N21" i="51"/>
  <c r="C66" i="51"/>
  <c r="C16" i="51"/>
  <c r="H132" i="69"/>
  <c r="C36" i="51"/>
  <c r="C12" i="51"/>
  <c r="C38" i="51"/>
  <c r="C60" i="51"/>
  <c r="J62" i="51"/>
  <c r="G62" i="51"/>
  <c r="C34" i="51"/>
  <c r="O62" i="51"/>
  <c r="L62" i="51"/>
  <c r="C45" i="51"/>
  <c r="I62" i="51"/>
  <c r="N62" i="51"/>
  <c r="C39" i="51"/>
  <c r="H62" i="51"/>
  <c r="C25" i="51"/>
  <c r="G107" i="51"/>
  <c r="L107" i="51"/>
  <c r="N107" i="51"/>
  <c r="O107" i="51"/>
  <c r="C17" i="51"/>
  <c r="E21" i="51"/>
  <c r="L21" i="51"/>
  <c r="C20" i="51"/>
  <c r="C18" i="51"/>
  <c r="I21" i="51"/>
  <c r="O21" i="51"/>
  <c r="C15" i="51"/>
  <c r="J21" i="51"/>
  <c r="M21" i="51"/>
  <c r="K21" i="51"/>
  <c r="C9" i="51"/>
  <c r="M107" i="51"/>
  <c r="C83" i="51"/>
  <c r="C31" i="51"/>
  <c r="C37" i="51"/>
  <c r="M62" i="51"/>
  <c r="C30" i="51"/>
  <c r="J107" i="51"/>
  <c r="C35" i="51"/>
  <c r="K107" i="51"/>
  <c r="C50" i="51"/>
  <c r="C76" i="51"/>
  <c r="G21" i="51"/>
  <c r="C48" i="51"/>
  <c r="F107" i="51"/>
  <c r="C63" i="51"/>
  <c r="C23" i="51"/>
  <c r="D62" i="51"/>
  <c r="H132" i="57"/>
  <c r="J132" i="70" s="1"/>
  <c r="F62" i="51"/>
  <c r="C13" i="51"/>
  <c r="C42" i="51"/>
  <c r="K62" i="51"/>
  <c r="E62" i="51"/>
  <c r="F21" i="51"/>
  <c r="C10" i="51"/>
  <c r="C99" i="51"/>
  <c r="H21" i="51"/>
  <c r="H127" i="51" s="1"/>
  <c r="C14" i="51"/>
  <c r="D21" i="51"/>
  <c r="C33" i="51"/>
  <c r="C41" i="51"/>
  <c r="C73" i="51"/>
  <c r="D107" i="51"/>
  <c r="L127" i="51" l="1"/>
  <c r="E127" i="51"/>
  <c r="G127" i="51"/>
  <c r="N127" i="51"/>
  <c r="I127" i="51"/>
  <c r="M127" i="51"/>
  <c r="O127" i="51"/>
  <c r="J127" i="51"/>
  <c r="K127" i="51"/>
  <c r="C21" i="51"/>
  <c r="F127" i="51"/>
  <c r="D127" i="51"/>
  <c r="C62" i="51"/>
  <c r="C107" i="51"/>
  <c r="C127" i="51" l="1"/>
</calcChain>
</file>

<file path=xl/comments1.xml><?xml version="1.0" encoding="utf-8"?>
<comments xmlns="http://schemas.openxmlformats.org/spreadsheetml/2006/main">
  <authors>
    <author>rogelio ramirez</author>
    <author>Finanzas</author>
  </authors>
  <commentList>
    <comment ref="F23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3500 programas de estudio para practicas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libros de programas educativos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folletos y lonas de vinculación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10 ANIVERSARIO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rogelio ramirez:
proyecto lombricultura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proyecto lombricultura ulises 25000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pago de protecciones
15,000 proyecto ulises lombricultura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vinculacion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bolsas de plastico y botes de basura para laboratorios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40,000 vinculacion uniformes
80,000 ivan camisas
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complemento camisas ivan de uniformes 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toda esta paritida es para la adquisicion de guantes para laboratorio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vinculacion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vinculacion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alimentarias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batas para laboratorio</t>
        </r>
      </text>
    </comment>
    <comment ref="F68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timbrado de recibos de nomina</t>
        </r>
      </text>
    </comment>
    <comment ref="F71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proyecto lombricultura ulises</t>
        </r>
      </text>
    </comment>
    <comment ref="F73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250,000 acreditación
90,000 auditoria externa
pago de abogados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73500 + 73500 tercera etapa claudio
11600 empress mensuales
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segunda etapa claudio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50,000 Area academica
200,000 acreditacion e iso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lo de angelica 150,000
3000 servicios profesionales de fotografia vinculación</t>
        </r>
      </text>
    </comment>
    <comment ref="G84" authorId="1" shapeId="0">
      <text>
        <r>
          <rPr>
            <b/>
            <sz val="9"/>
            <color indexed="81"/>
            <rFont val="Tahoma"/>
            <family val="2"/>
          </rPr>
          <t>Finanzas:</t>
        </r>
        <r>
          <rPr>
            <sz val="9"/>
            <color indexed="81"/>
            <rFont val="Tahoma"/>
            <family val="2"/>
          </rPr>
          <t xml:space="preserve">
PAGO DE ASESORIAS EMPRENDURISMO</t>
        </r>
      </text>
    </comment>
    <comment ref="D85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9,000 para comisiones bancarias
9000 para pago referenciado</t>
        </r>
      </text>
    </comment>
    <comment ref="F97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LETRERO INSTITUTO TECNOLOGICO Y EL POTRO 103618 , 
66000 promocion y difusion,
 70,000 promocion y difusion, 
RESTANTE PARA PROMOCION Y DIFUSION</t>
        </r>
      </text>
    </comment>
    <comment ref="F105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marcos y cuadros para fotos vinculacion 3000, y el resto 100,000 semana de la ciencia y aniversario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intertecnologicos y visitas a empresas</t>
        </r>
      </text>
    </comment>
    <comment ref="E107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servicios escolares 43800 para titulos
</t>
        </r>
      </text>
    </comment>
    <comment ref="F107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pago de refrendo vehiculos
</t>
        </r>
      </text>
    </comment>
    <comment ref="F108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PAGO DE LAUDOS MARIANA Y GILBERTO
</t>
        </r>
      </text>
    </comment>
    <comment ref="F115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butacas y muebles para laboratorio</t>
        </r>
      </text>
    </comment>
    <comment ref="F116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rogelio ramirez:
rogelio ramirez:
9860 impresora 3d
50,000 para telefonos cisco
60,000 impresoras
60,000 computadoras
60,000 camaras de video</t>
        </r>
      </text>
    </comment>
    <comment ref="F119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camara fotografica vinculacion</t>
        </r>
      </text>
    </comment>
    <comment ref="F121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termomixer y termociclador
sistema de transferencia de humedad proteina</t>
        </r>
      </text>
    </comment>
    <comment ref="F122" authorId="0" shapeId="0">
      <text>
        <r>
          <rPr>
            <b/>
            <sz val="9"/>
            <color indexed="81"/>
            <rFont val="Tahoma"/>
            <family val="2"/>
          </rPr>
          <t>rogelio ramirez:</t>
        </r>
        <r>
          <rPr>
            <sz val="9"/>
            <color indexed="81"/>
            <rFont val="Tahoma"/>
            <family val="2"/>
          </rPr>
          <t xml:space="preserve">
CAMIONETA 22PASAJEROS</t>
        </r>
      </text>
    </comment>
  </commentList>
</comments>
</file>

<file path=xl/comments2.xml><?xml version="1.0" encoding="utf-8"?>
<comments xmlns="http://schemas.openxmlformats.org/spreadsheetml/2006/main">
  <authors>
    <author>Personal</author>
  </authors>
  <commentList>
    <comment ref="E59" authorId="0" shapeId="0">
      <text>
        <r>
          <rPr>
            <b/>
            <sz val="9"/>
            <color indexed="81"/>
            <rFont val="Tahoma"/>
            <family val="2"/>
          </rPr>
          <t>Personal:</t>
        </r>
        <r>
          <rPr>
            <sz val="9"/>
            <color indexed="81"/>
            <rFont val="Tahoma"/>
            <family val="2"/>
          </rPr>
          <t xml:space="preserve">
se amplio 8000 + 10000
de ingresos propios</t>
        </r>
      </text>
    </comment>
  </commentList>
</comments>
</file>

<file path=xl/sharedStrings.xml><?xml version="1.0" encoding="utf-8"?>
<sst xmlns="http://schemas.openxmlformats.org/spreadsheetml/2006/main" count="1908" uniqueCount="244">
  <si>
    <t>TOTAL</t>
  </si>
  <si>
    <t>PARTIDA</t>
  </si>
  <si>
    <t>Prima quinquenal por años de servicios efectivos prestados</t>
  </si>
  <si>
    <t>Prima vacacional y dominical</t>
  </si>
  <si>
    <t>Aguinaldo</t>
  </si>
  <si>
    <t>Compensaciones para material didáctico</t>
  </si>
  <si>
    <t>Cuotas para la vivienda</t>
  </si>
  <si>
    <t>Cuotas para el Sistema de Ahorro para el Retiro (SAR)</t>
  </si>
  <si>
    <t>Ayuda para despensa</t>
  </si>
  <si>
    <t>Estímulo por el día del servidor público</t>
  </si>
  <si>
    <t>Otros estímulos</t>
  </si>
  <si>
    <t>Capítulo 2000 (Materiales y Suministros)</t>
  </si>
  <si>
    <t>Materiales, útiles y equipos menores de oficina</t>
  </si>
  <si>
    <t>Materiales, útiles y equipos menores de tecnologías de la información y comunicaciones</t>
  </si>
  <si>
    <t>Material de limpieza</t>
  </si>
  <si>
    <t>Utensilios para el servicio de alimentación</t>
  </si>
  <si>
    <t>Productos minerales no metálicos</t>
  </si>
  <si>
    <t>Cemento y productos de concreto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</si>
  <si>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</si>
  <si>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</si>
  <si>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</si>
  <si>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</si>
  <si>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</si>
  <si>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</si>
  <si>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</si>
  <si>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</si>
  <si>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</si>
  <si>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</si>
  <si>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Prendas de seguridad y protección personal</t>
  </si>
  <si>
    <t>Artículos deportivos</t>
  </si>
  <si>
    <t>Herramientas menores</t>
  </si>
  <si>
    <t>Refacciones y accesorios menores de edificios</t>
  </si>
  <si>
    <t>Refacciones y accesorios menores de mobiliario y equipo de administración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</si>
  <si>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</si>
  <si>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</si>
  <si>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</si>
  <si>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maquinaria y otros equipos</t>
  </si>
  <si>
    <t>Capítulo 3000 (Servicios Generales)</t>
  </si>
  <si>
    <t>Servicio de energía eléctrica</t>
  </si>
  <si>
    <t>Telefonía tradicional</t>
  </si>
  <si>
    <t>Servicios de acceso de internet, redes y procesamiento de información</t>
  </si>
  <si>
    <t>Servicio postal</t>
  </si>
  <si>
    <t>Arrendamiento de maquinaria, otros equipos y herramientas</t>
  </si>
  <si>
    <t>Servicios legales, de contabilidad, auditoría y relacionados</t>
  </si>
  <si>
    <t>Capacitación institucional</t>
  </si>
  <si>
    <t>Capacitación especializada</t>
  </si>
  <si>
    <t>Servicios de apoyo administrativo</t>
  </si>
  <si>
    <t>Impresiones de papelería oficial</t>
  </si>
  <si>
    <t>Servicios de vigilancia</t>
  </si>
  <si>
    <t>Servicios profesionales, científicos y técnicos integrales</t>
  </si>
  <si>
    <t>Servicios financieros y bancarios</t>
  </si>
  <si>
    <t>Seguro de bienes patrimoniales</t>
  </si>
  <si>
    <t>Fletes y maniobras</t>
  </si>
  <si>
    <t>Conservación y mantenimiento menor de inmuebles</t>
  </si>
  <si>
    <t>Instalación, reparación y mantenimiento de mobiliario y equipo de administración</t>
  </si>
  <si>
    <t>Instalación, reparación y mantenimiento de equipo de cómputo y tecnologías de la información</t>
  </si>
  <si>
    <t>Reparación y mantenimiento de equipo de transporte</t>
  </si>
  <si>
    <t>Mantenimiento y conservación de maquinaria y equipo de trabajo específico</t>
  </si>
  <si>
    <t>Servicios de limpieza y manejo de desechos</t>
  </si>
  <si>
    <t>Servicios de jardinería y fumigación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</si>
  <si>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</si>
  <si>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</si>
  <si>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Viáticos en el país</t>
  </si>
  <si>
    <t>Gastos de ceremonial</t>
  </si>
  <si>
    <t>Gastos de orden social</t>
  </si>
  <si>
    <t>Gastos de orden cultural</t>
  </si>
  <si>
    <t>Congresos y convenciones</t>
  </si>
  <si>
    <t>Impuestos y derechos</t>
  </si>
  <si>
    <t>Capítulo 4000 (Transferencias, Asignaciones, Subsidios y Otras Ayudas))</t>
  </si>
  <si>
    <t>Capítulo 5000 (Bienes Muebles e Inmuebles)</t>
  </si>
  <si>
    <t>Muebles de oficina y estantería</t>
  </si>
  <si>
    <t>Equipo de cómputo y de tecnología de la información</t>
  </si>
  <si>
    <t>Otros mobiliarios y equipos de administración</t>
  </si>
  <si>
    <t>Equipos y aparatos audiovisuales</t>
  </si>
  <si>
    <t>Cámaras fotográficas y de video</t>
  </si>
  <si>
    <t>Otro mobiliario y equipo educacional y recreativo</t>
  </si>
  <si>
    <t>Otros equipos de transporte</t>
  </si>
  <si>
    <t>Maquinaria y equipo industrial</t>
  </si>
  <si>
    <t>Sistemas de aire acondicionado, calefacción y de refrigeración</t>
  </si>
  <si>
    <t>Equipo de comunicación y telecomunicación</t>
  </si>
  <si>
    <t>Herramientas y máquinas-herramienta</t>
  </si>
  <si>
    <t>Software</t>
  </si>
  <si>
    <t>Licencias informáticas e intelectuales</t>
  </si>
  <si>
    <t>SUBTOTAL</t>
  </si>
  <si>
    <t>RECURSOS ESTATAL</t>
  </si>
  <si>
    <t>INGRESOS PROPIOS</t>
  </si>
  <si>
    <t>ORIGEN DEL INGRESO</t>
  </si>
  <si>
    <t xml:space="preserve"> ESTATAL</t>
  </si>
  <si>
    <t xml:space="preserve"> FEDERAL</t>
  </si>
  <si>
    <t>DENOMINACIÓN</t>
  </si>
  <si>
    <t>RESUMEN, SEGÚN ORIGEN DEL RECURSO</t>
  </si>
  <si>
    <t>Sueldo base</t>
  </si>
  <si>
    <t>CLASIFICACIÓN POR OBJETO DEL GASTO, SEGÚN ORIGEN DEL RECURSO</t>
  </si>
  <si>
    <t>Capítulo 1000 (Servicios Personales)</t>
  </si>
  <si>
    <t>Diferencia</t>
  </si>
  <si>
    <t>Matriz</t>
  </si>
  <si>
    <t>Presupuesto</t>
  </si>
  <si>
    <t>PLANEACIÓN Y DIRECCIÓN GENERAL</t>
  </si>
  <si>
    <t>ADMINISTRACIÓN</t>
  </si>
  <si>
    <t>ACADEMICO</t>
  </si>
  <si>
    <t>SUBTOTAL COMPONENTE 4</t>
  </si>
  <si>
    <t>SUBTOTAL COMPONENTE 3</t>
  </si>
  <si>
    <t>SUBTOTAL COMPONENTE 2</t>
  </si>
  <si>
    <t>PRESUPUESTO</t>
  </si>
  <si>
    <t>ACTIVIDAD</t>
  </si>
  <si>
    <t>PRIORIDAD</t>
  </si>
  <si>
    <t>COMPONENTE</t>
  </si>
  <si>
    <t>Ayuda a instituciones sin fines de lucro</t>
  </si>
  <si>
    <t>Aportación para Erogaciones Contingentes</t>
  </si>
  <si>
    <t>TOTAL CAPÍTULO 1000 Servicios Personales</t>
  </si>
  <si>
    <t>TOTAL CAPÍTULO 2000 Materiales y Suministros</t>
  </si>
  <si>
    <t>TOTAL CAPÍTULO 3000 Servicios Generales</t>
  </si>
  <si>
    <t>TOTAL CAPÍTULO 4000 Transferencias, Asignaciones, Subsidios y Otras Ayudas</t>
  </si>
  <si>
    <t>TOTAL CAPÍTULO 5000 Bienes Muebles, Inmuebles e Intangibles</t>
  </si>
  <si>
    <t>SUMAS</t>
  </si>
  <si>
    <t>PRESUPUESTACIÓN Y CALENDARIZACIÓN DE RECURSOS</t>
  </si>
  <si>
    <t>DESCRIPCIÓN</t>
  </si>
  <si>
    <t>IMPORTE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</si>
  <si>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</si>
  <si>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</si>
  <si>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</si>
  <si>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</si>
  <si>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</si>
  <si>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</si>
  <si>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</si>
  <si>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</si>
  <si>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</si>
  <si>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</si>
  <si>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</si>
  <si>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</si>
  <si>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 COMPONENTE 1</t>
  </si>
  <si>
    <t>Materiales y utiles de enseñanza</t>
  </si>
  <si>
    <t>Productos alimenticios para personas derivado de la prestacion de servicios publicos en unidades de salud, educativas, de readaptacion social y otras</t>
  </si>
  <si>
    <t>Combustibles, lubricantes y aditivos para vehiculos terrestres</t>
  </si>
  <si>
    <t>Servicios de impresión de material informativo derivado de la operación y administracion</t>
  </si>
  <si>
    <t>Informacion en medios masivos derivadas de la operación y administracion de las dependencias y entidades</t>
  </si>
  <si>
    <t>Pasajes aéreos nacionales</t>
  </si>
  <si>
    <t>Pasajes terrestres nacionales</t>
  </si>
  <si>
    <t>Laudos laborales</t>
  </si>
  <si>
    <t>Vehículos y equipo de transporte</t>
  </si>
  <si>
    <t>Combustibles, lubricantes y aditivos para maquinaria, equipo de</t>
  </si>
  <si>
    <t>Vestuarios y uniformes</t>
  </si>
  <si>
    <t>PRESUPUESTO DE INGRESOS 2015</t>
  </si>
  <si>
    <t>PRESUPUESTO DE EGRESOS 2015</t>
  </si>
  <si>
    <r>
      <t xml:space="preserve">PRESUPUESTO DE EGRESOS </t>
    </r>
    <r>
      <rPr>
        <b/>
        <sz val="36"/>
        <color rgb="FFC00000"/>
        <rFont val="Arial"/>
        <family val="2"/>
      </rPr>
      <t>2015</t>
    </r>
  </si>
  <si>
    <t>CALENDARIZACIÓN 2015</t>
  </si>
  <si>
    <t>Cuotas al IMSS por enfermedades y maternidad</t>
  </si>
  <si>
    <t>Cuotas a pensiones</t>
  </si>
  <si>
    <t>Estímulos al personal</t>
  </si>
  <si>
    <t>Material impreso e información digital</t>
  </si>
  <si>
    <t>Productos alimenticios para animales</t>
  </si>
  <si>
    <t>Productos alimenticios, agropecuarios y forestales adquiridos como materia  prima</t>
  </si>
  <si>
    <t>Cal, yeso y productos de yeso</t>
  </si>
  <si>
    <t>Productos químicos básicos</t>
  </si>
  <si>
    <t>fibras sintéticas, hules, plásticos y derivados</t>
  </si>
  <si>
    <t>Otros productos químicos</t>
  </si>
  <si>
    <t>Blancos y otros productos textiles, excepto prendas de vestir</t>
  </si>
  <si>
    <t>Refacciones y accesorios menores otros bienes muebles</t>
  </si>
  <si>
    <t>Servicio de gas</t>
  </si>
  <si>
    <t>Arrendamientos de edificios</t>
  </si>
  <si>
    <t>Arrendamientos especiales</t>
  </si>
  <si>
    <t>Servicios de diseño, arquitectura, ingeniería y actividades relacionadas</t>
  </si>
  <si>
    <t>Servicios de consultoria administrativa e informática</t>
  </si>
  <si>
    <t>Servicios de digitalización</t>
  </si>
  <si>
    <t>Instalación, reparación y mantenimiento de equipo e instrumental médico y de laboratorio</t>
  </si>
  <si>
    <t>Instalación, reparación y mantenimiento de maquinaria y otros equipos</t>
  </si>
  <si>
    <t>Otros servicios de traslado y hospedaje</t>
  </si>
  <si>
    <t xml:space="preserve">  </t>
  </si>
  <si>
    <r>
      <rPr>
        <b/>
        <sz val="14"/>
        <color rgb="FFFF0000"/>
        <rFont val="Arial"/>
        <family val="2"/>
      </rPr>
      <t>ORGANISMO:</t>
    </r>
    <r>
      <rPr>
        <b/>
        <sz val="14"/>
        <color theme="1" tint="0.499984740745262"/>
        <rFont val="Arial"/>
        <family val="2"/>
      </rPr>
      <t xml:space="preserve">   INSTITUTO TECNOLÓGICO SUPERIOR DE TAMAZULA DE GORDIANO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</si>
  <si>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REMANENTES</t>
  </si>
  <si>
    <t>Productos textiles</t>
  </si>
  <si>
    <t>Equipo médico y de laboratorio</t>
  </si>
  <si>
    <t>REMANENTE EJERCICIO 2014</t>
  </si>
  <si>
    <t>RECURSOS FEDERAL PROYECTADO</t>
  </si>
  <si>
    <t>INGRESOS PROPIOS PROYECTADO</t>
  </si>
  <si>
    <t>TOTAL CAPÍTULO 2000 Servicios Personales</t>
  </si>
  <si>
    <t>TOTAL CAPÍTULO 3000 Servicios Personales</t>
  </si>
  <si>
    <t>TOTAL CAPÍTULO 5000 Servicios Personales</t>
  </si>
  <si>
    <t>Reprobación</t>
  </si>
  <si>
    <t>Deserción escolar</t>
  </si>
  <si>
    <t>% de Alumnos que reciben tutoria</t>
  </si>
  <si>
    <t>% de Alumnos becarios</t>
  </si>
  <si>
    <t>Número de Docentes con posgrado</t>
  </si>
  <si>
    <t>Número de Alumnos participantes en proyectos de investigación</t>
  </si>
  <si>
    <t>Matrícula de calidad</t>
  </si>
  <si>
    <t>% de alumnos en programa de inglés</t>
  </si>
  <si>
    <t>% de alumnos en residencias profesionales</t>
  </si>
  <si>
    <t>Número de Alumnos en programas de innovación y creatividad</t>
  </si>
  <si>
    <t>% Alumnos en programas de emprendedores</t>
  </si>
  <si>
    <t>% de Aulas ocupadas</t>
  </si>
  <si>
    <t>Número de alumnos por computadora</t>
  </si>
  <si>
    <t>Nivel de transparencia según la  evaluación institucional</t>
  </si>
  <si>
    <t>Número de alumnos por personal docente</t>
  </si>
  <si>
    <t>Atención a la demanda de educación superior</t>
  </si>
  <si>
    <t>Educación de calidad</t>
  </si>
  <si>
    <t>Educación con vocación regional sustentada en la vinculación y la innovación</t>
  </si>
  <si>
    <t>Administración educativa racional y transparente</t>
  </si>
  <si>
    <t>OTRAS (SECRETARIA DE DESARROLLO ECONOMICO)</t>
  </si>
  <si>
    <t>OTRAS (SEDECO)</t>
  </si>
  <si>
    <t>NOTA 2: EL ADEUDO HISTORICO ESTATAL CORRESPONDE A: 6,615,890.66</t>
  </si>
  <si>
    <t>NOTA: EL PRESUPUESTO ESTATAL AUTORIZADO ES INSUFICIENTE PARA CUBRIR LAS NECESIDADES DEL INSTITUTO, SE TIENE UN DEFICIT EN EL CAPITULO 1000 DE SERVICIOS PERSONALES POR UN TOTAL DE: 3,184,488.00</t>
  </si>
  <si>
    <t>PRESUPUESTO 2015 POR OBJETO DEL GASTO</t>
  </si>
  <si>
    <t>Esta hoja forma parte de la Primera Sesión Ordinaria de la Junta Directiva del 19 de febrero de 2015</t>
  </si>
  <si>
    <r>
      <rPr>
        <b/>
        <sz val="12"/>
        <color rgb="FFFF0000"/>
        <rFont val="Arial"/>
        <family val="2"/>
      </rPr>
      <t xml:space="preserve">                        INSTITUTO TECNOLOGICO SUPERIOR DE TAMAZULA DE GORDIANO     </t>
    </r>
    <r>
      <rPr>
        <b/>
        <sz val="12"/>
        <color theme="1" tint="0.4999847407452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</si>
  <si>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ANEXO 2    1 de 4  </t>
  </si>
  <si>
    <t>ANEXO 2        4 de 4</t>
  </si>
  <si>
    <t>ANEXO 2      2 de 4</t>
  </si>
  <si>
    <t>Esta hoja forma parte de la Primera Sesión Ordinaria de la Junta Directiva del 19 de febrero de 2015                                       ANEXO 2             3 de 4</t>
  </si>
  <si>
    <t xml:space="preserve">                                               Organismo: INSTITUTO TECNOLOGICO SUPERIOR DE TAMAZULA DE GORDIANO</t>
  </si>
  <si>
    <t xml:space="preserve">                                        INSTITUTO TECNOLOGICO SUPERIOR DE TAMAZULA DE GORDIANO</t>
  </si>
  <si>
    <t>CLASIFICACIÓN POR OBJETO DEL GASTO, SEGÚN ORIGEN DEL RECURSO POR DEPARTAMENTO</t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</si>
  <si>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INGENIERIA ELECTROMECÁNICA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</si>
  <si>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INGENIERIA EN INDUSTRIAS ALIMENTARIAS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</si>
  <si>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INGENIERIA EN INNOVACIÓN AGRÍCOLA SUSTENTABLE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</si>
  <si>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INGENIERIA EN ADMINISTRACIÓN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</si>
  <si>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INVESTIGACIÓN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</si>
  <si>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DESARROLLO ACADEMICO Y CEIN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</si>
  <si>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PLANEACIÓN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</si>
  <si>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SERVICIOS ESCOLARES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</si>
  <si>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VINCULACIÓN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</si>
  <si>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ADMINISTRACIÓN DE RECURSOS</t>
    </r>
  </si>
  <si>
    <r>
      <t xml:space="preserve">PRESUPUESTO PARA </t>
    </r>
    <r>
      <rPr>
        <b/>
        <i/>
        <sz val="12"/>
        <color theme="1" tint="4.9989318521683403E-2"/>
        <rFont val="Arial"/>
        <family val="2"/>
      </rPr>
      <t>CALIDAD</t>
    </r>
  </si>
  <si>
    <t>ESTATAL</t>
  </si>
  <si>
    <t>FEDERAL</t>
  </si>
  <si>
    <t>OTROS</t>
  </si>
  <si>
    <t>OBSERVACIONES</t>
  </si>
  <si>
    <t>ENZIMAS Y LOMBRICULTURA</t>
  </si>
  <si>
    <t>LOMBRICULTURA</t>
  </si>
  <si>
    <t>ENZIMAS</t>
  </si>
  <si>
    <t>ACREDITACION CACEI</t>
  </si>
  <si>
    <t>SEGUNDA Y TERCERA FASE DE CLAUDIO + SEGUNDA ETAPA</t>
  </si>
  <si>
    <t>EMPRESS Y AUDITORIA EXTERNA</t>
  </si>
  <si>
    <t>SERVICIO DE ESCANEADO</t>
  </si>
  <si>
    <t>SERVICIOS DE IMPRESIÓN (ARRENDAMIENTO)</t>
  </si>
  <si>
    <t>CEIN</t>
  </si>
  <si>
    <t>COMISIONES BANCARIAS Y REFERENCIAS INSCRIPCIONES</t>
  </si>
  <si>
    <t>NO APLICAR POR RECORTE PRESUPUESTAL</t>
  </si>
  <si>
    <t>TRANSFERENCIA A OTRA PARTIDA (METALICOS INVESTIGACION)</t>
  </si>
  <si>
    <t>Programas y conceptos complementarios</t>
  </si>
  <si>
    <t>Transferencias internas otorgadas a entidades paraestatales no empresariales y no financieras para inversión pública</t>
  </si>
  <si>
    <t>Especies menores y de zoologico</t>
  </si>
  <si>
    <t>TOTALES</t>
  </si>
  <si>
    <t>PRIORIDADES DE GASTO, DEL PROGRAMA NO 1 POR COMPONENTE Y ACTIVIDAD</t>
  </si>
  <si>
    <t>PROGRAMA DE ENSEÑANZA DE LA EDUCACIÓN SUPERIOR TECNOLOGICA EN LAS REGIONES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</si>
</sst>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_-* #,##0_-;\-* #,##0_-;_-* &quot;-&quot;??_-;_-@_-"/>
    <numFmt numFmtId="168" formatCode="_-&quot;$&quot;* #,##0_-;\-&quot;$&quot;* #,##0_-;_-&quot;$&quot;* &quot;-&quot;??_-;_-@_-"/>
    <numFmt numFmtId="169" formatCode="0000"/>
    <numFmt numFmtId="170" formatCode="[$$-80A]#,##0.00"/>
  </numFmts>
  <fonts count="5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 tint="0.499984740745262"/>
      <name val="Arial"/>
      <family val="2"/>
    </font>
    <font>
      <b/>
      <sz val="11"/>
      <color theme="1"/>
      <name val="Arial"/>
      <family val="2"/>
    </font>
    <font>
      <b/>
      <i/>
      <sz val="12"/>
      <color theme="1" tint="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4"/>
      <color theme="0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b/>
      <i/>
      <sz val="12"/>
      <color theme="1" tint="0.499984740745262"/>
      <name val="Century Gothic"/>
      <family val="2"/>
    </font>
    <font>
      <b/>
      <sz val="14"/>
      <color theme="1" tint="0.499984740745262"/>
      <name val="Century Gothic"/>
      <family val="2"/>
    </font>
    <font>
      <b/>
      <sz val="14"/>
      <color theme="5" tint="-0.249977111117893"/>
      <name val="Century Gothic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rgb="FF99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6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1" tint="0.499984740745262"/>
      <name val="Arial"/>
      <family val="2"/>
    </font>
    <font>
      <b/>
      <sz val="36"/>
      <color rgb="FFC00000"/>
      <name val="Arial"/>
      <family val="2"/>
    </font>
    <font>
      <b/>
      <i/>
      <sz val="12"/>
      <color rgb="FFFF0000"/>
      <name val="Century Gothic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i/>
      <sz val="11"/>
      <name val="Century Gothic"/>
      <family val="2"/>
    </font>
    <font>
      <i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rgb="FFFFFF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i/>
      <sz val="12"/>
      <color theme="1" tint="4.9989318521683403E-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5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</cellStyleXfs>
  <cellXfs count="291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 applyBorder="1"/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8" fillId="0" borderId="0" xfId="0" applyFont="1"/>
    <xf numFmtId="0" fontId="2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26" fillId="2" borderId="0" xfId="0" applyFont="1" applyFill="1" applyAlignment="1">
      <alignment vertical="center"/>
    </xf>
    <xf numFmtId="0" fontId="28" fillId="0" borderId="0" xfId="0" applyFont="1" applyAlignment="1">
      <alignment horizontal="center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 vertical="center"/>
    </xf>
    <xf numFmtId="0" fontId="28" fillId="0" borderId="0" xfId="0" applyFont="1"/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justify" vertical="center" wrapText="1"/>
    </xf>
    <xf numFmtId="0" fontId="31" fillId="0" borderId="0" xfId="0" applyFont="1"/>
    <xf numFmtId="167" fontId="31" fillId="0" borderId="0" xfId="11" applyNumberFormat="1" applyFont="1"/>
    <xf numFmtId="0" fontId="31" fillId="0" borderId="0" xfId="0" applyFont="1" applyBorder="1"/>
    <xf numFmtId="168" fontId="30" fillId="5" borderId="0" xfId="0" applyNumberFormat="1" applyFont="1" applyFill="1" applyBorder="1"/>
    <xf numFmtId="168" fontId="27" fillId="3" borderId="0" xfId="0" applyNumberFormat="1" applyFont="1" applyFill="1" applyBorder="1"/>
    <xf numFmtId="167" fontId="30" fillId="5" borderId="0" xfId="0" applyNumberFormat="1" applyFont="1" applyFill="1" applyBorder="1" applyAlignment="1">
      <alignment horizontal="center" vertical="center"/>
    </xf>
    <xf numFmtId="0" fontId="32" fillId="0" borderId="0" xfId="0" applyFont="1"/>
    <xf numFmtId="167" fontId="27" fillId="3" borderId="0" xfId="0" applyNumberFormat="1" applyFont="1" applyFill="1" applyBorder="1" applyAlignment="1">
      <alignment horizontal="center" vertical="center"/>
    </xf>
    <xf numFmtId="0" fontId="33" fillId="0" borderId="0" xfId="0" applyFont="1"/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34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6" fillId="0" borderId="18" xfId="3" applyFont="1" applyBorder="1" applyAlignment="1">
      <alignment vertical="center"/>
    </xf>
    <xf numFmtId="169" fontId="2" fillId="0" borderId="1" xfId="3" applyNumberFormat="1" applyFill="1" applyBorder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169" fontId="16" fillId="4" borderId="1" xfId="3" applyNumberFormat="1" applyFont="1" applyFill="1" applyBorder="1" applyAlignment="1">
      <alignment horizontal="center" vertical="center"/>
    </xf>
    <xf numFmtId="0" fontId="2" fillId="0" borderId="1" xfId="3" applyBorder="1" applyAlignment="1">
      <alignment vertical="center"/>
    </xf>
    <xf numFmtId="0" fontId="27" fillId="3" borderId="1" xfId="3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0" fontId="3" fillId="0" borderId="0" xfId="0" applyFont="1" applyFill="1"/>
    <xf numFmtId="4" fontId="3" fillId="0" borderId="0" xfId="0" applyNumberFormat="1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/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/>
    <xf numFmtId="0" fontId="17" fillId="0" borderId="1" xfId="0" applyFont="1" applyFill="1" applyBorder="1" applyAlignment="1">
      <alignment horizontal="center" vertical="center"/>
    </xf>
    <xf numFmtId="0" fontId="43" fillId="0" borderId="0" xfId="0" applyFont="1" applyFill="1"/>
    <xf numFmtId="0" fontId="43" fillId="0" borderId="0" xfId="0" applyFont="1"/>
    <xf numFmtId="164" fontId="3" fillId="0" borderId="0" xfId="10" applyFont="1"/>
    <xf numFmtId="164" fontId="3" fillId="0" borderId="0" xfId="0" applyNumberFormat="1" applyFont="1"/>
    <xf numFmtId="164" fontId="31" fillId="0" borderId="0" xfId="10" applyFont="1" applyFill="1"/>
    <xf numFmtId="0" fontId="31" fillId="0" borderId="0" xfId="0" applyFont="1" applyBorder="1" applyAlignment="1">
      <alignment horizontal="right"/>
    </xf>
    <xf numFmtId="164" fontId="31" fillId="0" borderId="0" xfId="10" applyFont="1"/>
    <xf numFmtId="164" fontId="30" fillId="5" borderId="0" xfId="10" applyFont="1" applyFill="1" applyBorder="1"/>
    <xf numFmtId="164" fontId="0" fillId="0" borderId="0" xfId="10" applyFont="1"/>
    <xf numFmtId="165" fontId="3" fillId="0" borderId="0" xfId="0" applyNumberFormat="1" applyFont="1"/>
    <xf numFmtId="165" fontId="31" fillId="0" borderId="0" xfId="11" applyFont="1"/>
    <xf numFmtId="165" fontId="30" fillId="5" borderId="0" xfId="11" applyFont="1" applyFill="1" applyBorder="1"/>
    <xf numFmtId="165" fontId="0" fillId="0" borderId="0" xfId="11" applyFont="1"/>
    <xf numFmtId="0" fontId="0" fillId="0" borderId="0" xfId="0" applyBorder="1" applyAlignment="1">
      <alignment horizontal="right"/>
    </xf>
    <xf numFmtId="164" fontId="0" fillId="0" borderId="0" xfId="21" applyFont="1"/>
    <xf numFmtId="0" fontId="0" fillId="0" borderId="0" xfId="0" applyFill="1" applyBorder="1" applyAlignment="1">
      <alignment horizontal="right"/>
    </xf>
    <xf numFmtId="164" fontId="0" fillId="0" borderId="0" xfId="10" applyFont="1" applyFill="1"/>
    <xf numFmtId="165" fontId="31" fillId="0" borderId="0" xfId="11" applyNumberFormat="1" applyFont="1"/>
    <xf numFmtId="165" fontId="2" fillId="0" borderId="0" xfId="11" applyFont="1" applyFill="1" applyAlignment="1"/>
    <xf numFmtId="164" fontId="28" fillId="0" borderId="0" xfId="10" applyFont="1" applyAlignment="1">
      <alignment horizontal="center"/>
    </xf>
    <xf numFmtId="164" fontId="28" fillId="0" borderId="0" xfId="10" applyFont="1"/>
    <xf numFmtId="164" fontId="32" fillId="0" borderId="0" xfId="10" applyFont="1"/>
    <xf numFmtId="164" fontId="33" fillId="0" borderId="0" xfId="10" applyFont="1"/>
    <xf numFmtId="165" fontId="28" fillId="0" borderId="0" xfId="0" applyNumberFormat="1" applyFont="1"/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justify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justify" vertical="center" wrapText="1"/>
    </xf>
    <xf numFmtId="164" fontId="2" fillId="0" borderId="0" xfId="10" applyFont="1" applyAlignment="1">
      <alignment vertical="center"/>
    </xf>
    <xf numFmtId="164" fontId="34" fillId="0" borderId="0" xfId="10" applyFont="1" applyFill="1" applyAlignment="1">
      <alignment vertical="center"/>
    </xf>
    <xf numFmtId="164" fontId="35" fillId="0" borderId="0" xfId="10" applyFont="1" applyFill="1" applyAlignment="1">
      <alignment horizontal="right" vertical="center"/>
    </xf>
    <xf numFmtId="164" fontId="17" fillId="0" borderId="0" xfId="10" applyFont="1" applyFill="1" applyAlignment="1">
      <alignment vertical="center"/>
    </xf>
    <xf numFmtId="164" fontId="14" fillId="0" borderId="0" xfId="10" applyFont="1" applyFill="1" applyAlignment="1">
      <alignment horizontal="right" vertical="center"/>
    </xf>
    <xf numFmtId="164" fontId="17" fillId="0" borderId="0" xfId="10" applyFont="1" applyFill="1" applyAlignment="1">
      <alignment horizontal="right" vertical="center"/>
    </xf>
    <xf numFmtId="164" fontId="16" fillId="0" borderId="0" xfId="10" applyFont="1" applyAlignment="1">
      <alignment vertical="center"/>
    </xf>
    <xf numFmtId="164" fontId="16" fillId="0" borderId="18" xfId="10" applyFont="1" applyBorder="1" applyAlignment="1">
      <alignment vertical="center"/>
    </xf>
    <xf numFmtId="164" fontId="36" fillId="3" borderId="19" xfId="10" applyFont="1" applyFill="1" applyBorder="1" applyAlignment="1">
      <alignment horizontal="center" vertical="center" wrapText="1"/>
    </xf>
    <xf numFmtId="164" fontId="27" fillId="3" borderId="1" xfId="10" applyFont="1" applyFill="1" applyBorder="1" applyAlignment="1">
      <alignment horizontal="center" vertical="center"/>
    </xf>
    <xf numFmtId="164" fontId="2" fillId="0" borderId="10" xfId="10" applyFont="1" applyFill="1" applyBorder="1" applyAlignment="1">
      <alignment horizontal="right" vertical="center"/>
    </xf>
    <xf numFmtId="164" fontId="2" fillId="0" borderId="1" xfId="10" applyFont="1" applyFill="1" applyBorder="1" applyAlignment="1">
      <alignment horizontal="right" vertical="center"/>
    </xf>
    <xf numFmtId="164" fontId="2" fillId="0" borderId="1" xfId="10" applyFont="1" applyBorder="1" applyAlignment="1">
      <alignment horizontal="right" vertical="center"/>
    </xf>
    <xf numFmtId="164" fontId="16" fillId="0" borderId="1" xfId="10" applyFont="1" applyFill="1" applyBorder="1" applyAlignment="1">
      <alignment vertical="center"/>
    </xf>
    <xf numFmtId="164" fontId="27" fillId="3" borderId="1" xfId="10" applyFont="1" applyFill="1" applyBorder="1" applyAlignment="1">
      <alignment vertical="center"/>
    </xf>
    <xf numFmtId="164" fontId="2" fillId="0" borderId="10" xfId="10" applyFont="1" applyFill="1" applyBorder="1" applyAlignment="1">
      <alignment vertical="center"/>
    </xf>
    <xf numFmtId="164" fontId="16" fillId="4" borderId="1" xfId="10" applyFont="1" applyFill="1" applyBorder="1" applyAlignment="1">
      <alignment vertical="center"/>
    </xf>
    <xf numFmtId="0" fontId="2" fillId="0" borderId="10" xfId="3" applyBorder="1" applyAlignment="1">
      <alignment horizontal="center"/>
    </xf>
    <xf numFmtId="49" fontId="0" fillId="0" borderId="32" xfId="1" applyNumberFormat="1" applyFont="1" applyFill="1" applyBorder="1" applyAlignment="1">
      <alignment horizontal="justify" vertical="center"/>
    </xf>
    <xf numFmtId="164" fontId="4" fillId="0" borderId="0" xfId="10" applyFont="1" applyFill="1" applyAlignment="1">
      <alignment vertical="center"/>
    </xf>
    <xf numFmtId="164" fontId="8" fillId="0" borderId="0" xfId="10" applyFont="1" applyFill="1" applyBorder="1" applyAlignment="1">
      <alignment vertical="center" wrapText="1"/>
    </xf>
    <xf numFmtId="164" fontId="0" fillId="0" borderId="0" xfId="10" applyFont="1" applyFill="1" applyBorder="1"/>
    <xf numFmtId="164" fontId="43" fillId="0" borderId="0" xfId="10" applyFont="1" applyFill="1"/>
    <xf numFmtId="0" fontId="0" fillId="0" borderId="32" xfId="1" applyFont="1" applyFill="1" applyBorder="1" applyAlignment="1">
      <alignment horizontal="justify" vertical="center"/>
    </xf>
    <xf numFmtId="164" fontId="5" fillId="0" borderId="1" xfId="10" applyNumberFormat="1" applyFont="1" applyFill="1" applyBorder="1" applyAlignment="1">
      <alignment horizontal="right" vertical="center"/>
    </xf>
    <xf numFmtId="164" fontId="3" fillId="0" borderId="1" xfId="10" applyNumberFormat="1" applyFont="1" applyFill="1" applyBorder="1" applyAlignment="1">
      <alignment horizontal="right" vertical="center"/>
    </xf>
    <xf numFmtId="164" fontId="3" fillId="0" borderId="1" xfId="11" applyNumberFormat="1" applyFont="1" applyFill="1" applyBorder="1" applyAlignment="1">
      <alignment horizontal="right" vertical="center"/>
    </xf>
    <xf numFmtId="164" fontId="5" fillId="0" borderId="8" xfId="10" applyNumberFormat="1" applyFont="1" applyFill="1" applyBorder="1" applyAlignment="1">
      <alignment horizontal="right" vertical="center"/>
    </xf>
    <xf numFmtId="164" fontId="3" fillId="0" borderId="8" xfId="10" applyNumberFormat="1" applyFont="1" applyFill="1" applyBorder="1" applyAlignment="1">
      <alignment horizontal="right" vertical="center"/>
    </xf>
    <xf numFmtId="0" fontId="48" fillId="0" borderId="1" xfId="0" applyFont="1" applyFill="1" applyBorder="1" applyAlignment="1">
      <alignment horizontal="right" vertical="center" wrapText="1"/>
    </xf>
    <xf numFmtId="164" fontId="49" fillId="0" borderId="1" xfId="0" applyNumberFormat="1" applyFont="1" applyFill="1" applyBorder="1" applyAlignment="1">
      <alignment horizontal="right" vertical="center"/>
    </xf>
    <xf numFmtId="164" fontId="9" fillId="0" borderId="14" xfId="0" applyNumberFormat="1" applyFont="1" applyFill="1" applyBorder="1" applyAlignment="1">
      <alignment horizontal="right" vertical="center"/>
    </xf>
    <xf numFmtId="164" fontId="50" fillId="6" borderId="1" xfId="10" applyNumberFormat="1" applyFont="1" applyFill="1" applyBorder="1" applyAlignment="1">
      <alignment horizontal="right"/>
    </xf>
    <xf numFmtId="165" fontId="31" fillId="0" borderId="0" xfId="0" applyNumberFormat="1" applyFont="1"/>
    <xf numFmtId="164" fontId="18" fillId="0" borderId="0" xfId="0" applyNumberFormat="1" applyFont="1"/>
    <xf numFmtId="0" fontId="23" fillId="0" borderId="0" xfId="0" applyFont="1" applyFill="1" applyBorder="1" applyAlignment="1">
      <alignment vertical="center"/>
    </xf>
    <xf numFmtId="164" fontId="22" fillId="0" borderId="0" xfId="10" applyFont="1" applyFill="1" applyBorder="1" applyAlignment="1">
      <alignment vertical="center"/>
    </xf>
    <xf numFmtId="164" fontId="44" fillId="0" borderId="0" xfId="1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165" fontId="0" fillId="0" borderId="0" xfId="0" applyNumberFormat="1"/>
    <xf numFmtId="164" fontId="0" fillId="0" borderId="0" xfId="0" applyNumberFormat="1"/>
    <xf numFmtId="164" fontId="31" fillId="0" borderId="1" xfId="10" applyFont="1" applyFill="1" applyBorder="1"/>
    <xf numFmtId="165" fontId="31" fillId="0" borderId="1" xfId="11" applyFont="1" applyBorder="1"/>
    <xf numFmtId="165" fontId="31" fillId="0" borderId="1" xfId="11" applyNumberFormat="1" applyFont="1" applyBorder="1"/>
    <xf numFmtId="167" fontId="30" fillId="5" borderId="1" xfId="0" applyNumberFormat="1" applyFont="1" applyFill="1" applyBorder="1" applyAlignment="1">
      <alignment horizontal="center" vertical="center"/>
    </xf>
    <xf numFmtId="168" fontId="30" fillId="5" borderId="1" xfId="0" applyNumberFormat="1" applyFont="1" applyFill="1" applyBorder="1"/>
    <xf numFmtId="164" fontId="30" fillId="5" borderId="1" xfId="10" applyFont="1" applyFill="1" applyBorder="1"/>
    <xf numFmtId="165" fontId="30" fillId="5" borderId="1" xfId="11" applyFont="1" applyFill="1" applyBorder="1"/>
    <xf numFmtId="165" fontId="30" fillId="5" borderId="1" xfId="11" applyNumberFormat="1" applyFont="1" applyFill="1" applyBorder="1"/>
    <xf numFmtId="165" fontId="31" fillId="0" borderId="1" xfId="11" applyFont="1" applyFill="1" applyBorder="1"/>
    <xf numFmtId="164" fontId="27" fillId="3" borderId="1" xfId="10" applyFont="1" applyFill="1" applyBorder="1"/>
    <xf numFmtId="165" fontId="27" fillId="3" borderId="1" xfId="11" applyFont="1" applyFill="1" applyBorder="1"/>
    <xf numFmtId="165" fontId="47" fillId="3" borderId="1" xfId="11" applyFont="1" applyFill="1" applyBorder="1"/>
    <xf numFmtId="165" fontId="27" fillId="3" borderId="1" xfId="11" applyNumberFormat="1" applyFont="1" applyFill="1" applyBorder="1"/>
    <xf numFmtId="164" fontId="31" fillId="0" borderId="0" xfId="10" applyFont="1" applyFill="1" applyBorder="1"/>
    <xf numFmtId="164" fontId="31" fillId="0" borderId="0" xfId="10" applyFont="1" applyBorder="1"/>
    <xf numFmtId="165" fontId="31" fillId="0" borderId="0" xfId="11" applyFont="1" applyBorder="1"/>
    <xf numFmtId="164" fontId="32" fillId="0" borderId="0" xfId="10" applyFont="1" applyBorder="1"/>
    <xf numFmtId="165" fontId="28" fillId="0" borderId="0" xfId="0" applyNumberFormat="1" applyFont="1" applyBorder="1"/>
    <xf numFmtId="0" fontId="32" fillId="0" borderId="0" xfId="0" applyFont="1" applyBorder="1"/>
    <xf numFmtId="164" fontId="17" fillId="0" borderId="0" xfId="10" applyFont="1" applyBorder="1" applyAlignment="1">
      <alignment vertical="center"/>
    </xf>
    <xf numFmtId="0" fontId="2" fillId="0" borderId="0" xfId="3" applyAlignment="1">
      <alignment vertical="center" wrapText="1"/>
    </xf>
    <xf numFmtId="0" fontId="17" fillId="0" borderId="0" xfId="3" applyFont="1" applyFill="1" applyAlignment="1">
      <alignment vertical="center" wrapText="1"/>
    </xf>
    <xf numFmtId="0" fontId="16" fillId="0" borderId="0" xfId="3" applyFont="1" applyAlignment="1">
      <alignment vertical="center" wrapText="1"/>
    </xf>
    <xf numFmtId="0" fontId="16" fillId="0" borderId="18" xfId="3" applyFont="1" applyBorder="1" applyAlignment="1">
      <alignment vertical="center" wrapText="1"/>
    </xf>
    <xf numFmtId="0" fontId="16" fillId="4" borderId="1" xfId="3" applyFont="1" applyFill="1" applyBorder="1" applyAlignment="1">
      <alignment horizontal="right" vertical="center" wrapText="1"/>
    </xf>
    <xf numFmtId="169" fontId="2" fillId="0" borderId="1" xfId="3" applyNumberFormat="1" applyFill="1" applyBorder="1" applyAlignment="1">
      <alignment vertical="center" wrapText="1"/>
    </xf>
    <xf numFmtId="0" fontId="2" fillId="0" borderId="1" xfId="3" applyFill="1" applyBorder="1" applyAlignment="1">
      <alignment wrapText="1"/>
    </xf>
    <xf numFmtId="0" fontId="27" fillId="3" borderId="1" xfId="3" applyFont="1" applyFill="1" applyBorder="1" applyAlignment="1">
      <alignment horizontal="right" vertical="center" wrapText="1"/>
    </xf>
    <xf numFmtId="170" fontId="31" fillId="0" borderId="1" xfId="10" applyNumberFormat="1" applyFont="1" applyFill="1" applyBorder="1"/>
    <xf numFmtId="170" fontId="31" fillId="0" borderId="1" xfId="11" applyNumberFormat="1" applyFont="1" applyBorder="1"/>
    <xf numFmtId="164" fontId="28" fillId="0" borderId="1" xfId="10" applyFont="1" applyBorder="1"/>
    <xf numFmtId="165" fontId="31" fillId="0" borderId="7" xfId="11" applyNumberFormat="1" applyFont="1" applyBorder="1"/>
    <xf numFmtId="164" fontId="32" fillId="0" borderId="1" xfId="10" applyFont="1" applyBorder="1"/>
    <xf numFmtId="164" fontId="28" fillId="0" borderId="0" xfId="10" applyFont="1" applyAlignment="1">
      <alignment vertical="center"/>
    </xf>
    <xf numFmtId="0" fontId="28" fillId="0" borderId="0" xfId="10" applyNumberFormat="1" applyFont="1" applyAlignment="1">
      <alignment horizontal="center"/>
    </xf>
    <xf numFmtId="0" fontId="0" fillId="0" borderId="0" xfId="10" applyNumberFormat="1" applyFont="1" applyAlignment="1">
      <alignment horizontal="center"/>
    </xf>
    <xf numFmtId="0" fontId="32" fillId="0" borderId="0" xfId="10" applyNumberFormat="1" applyFont="1" applyBorder="1" applyAlignment="1">
      <alignment horizontal="center"/>
    </xf>
    <xf numFmtId="0" fontId="32" fillId="0" borderId="0" xfId="10" applyNumberFormat="1" applyFont="1" applyAlignment="1">
      <alignment horizontal="center"/>
    </xf>
    <xf numFmtId="0" fontId="33" fillId="0" borderId="0" xfId="10" applyNumberFormat="1" applyFont="1" applyAlignment="1">
      <alignment horizontal="center"/>
    </xf>
    <xf numFmtId="0" fontId="0" fillId="0" borderId="0" xfId="0" applyAlignment="1">
      <alignment horizontal="right"/>
    </xf>
    <xf numFmtId="0" fontId="28" fillId="0" borderId="0" xfId="0" applyFont="1" applyAlignment="1">
      <alignment horizontal="right"/>
    </xf>
    <xf numFmtId="165" fontId="28" fillId="0" borderId="0" xfId="0" applyNumberFormat="1" applyFont="1" applyAlignment="1">
      <alignment horizontal="right"/>
    </xf>
    <xf numFmtId="165" fontId="28" fillId="0" borderId="0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0" fontId="52" fillId="0" borderId="0" xfId="1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right"/>
    </xf>
    <xf numFmtId="164" fontId="31" fillId="0" borderId="1" xfId="10" applyFont="1" applyBorder="1"/>
    <xf numFmtId="167" fontId="31" fillId="0" borderId="1" xfId="11" applyNumberFormat="1" applyFont="1" applyBorder="1"/>
    <xf numFmtId="164" fontId="28" fillId="0" borderId="8" xfId="10" applyFont="1" applyBorder="1"/>
    <xf numFmtId="164" fontId="31" fillId="7" borderId="1" xfId="10" applyFont="1" applyFill="1" applyBorder="1"/>
    <xf numFmtId="170" fontId="31" fillId="7" borderId="1" xfId="10" applyNumberFormat="1" applyFont="1" applyFill="1" applyBorder="1"/>
    <xf numFmtId="0" fontId="0" fillId="0" borderId="0" xfId="0" applyAlignment="1">
      <alignment wrapText="1"/>
    </xf>
    <xf numFmtId="165" fontId="53" fillId="7" borderId="0" xfId="11" applyFont="1" applyFill="1"/>
    <xf numFmtId="165" fontId="0" fillId="7" borderId="0" xfId="11" applyFont="1" applyFill="1"/>
    <xf numFmtId="165" fontId="53" fillId="7" borderId="0" xfId="0" applyNumberFormat="1" applyFont="1" applyFill="1"/>
    <xf numFmtId="165" fontId="53" fillId="0" borderId="0" xfId="1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65" fontId="54" fillId="7" borderId="0" xfId="11" applyFont="1" applyFill="1"/>
    <xf numFmtId="43" fontId="28" fillId="0" borderId="0" xfId="10" applyNumberFormat="1" applyFont="1" applyAlignment="1">
      <alignment horizontal="center"/>
    </xf>
    <xf numFmtId="164" fontId="31" fillId="8" borderId="1" xfId="10" applyFont="1" applyFill="1" applyBorder="1"/>
    <xf numFmtId="170" fontId="31" fillId="8" borderId="1" xfId="10" applyNumberFormat="1" applyFont="1" applyFill="1" applyBorder="1"/>
    <xf numFmtId="164" fontId="31" fillId="9" borderId="1" xfId="10" applyFont="1" applyFill="1" applyBorder="1"/>
    <xf numFmtId="164" fontId="31" fillId="2" borderId="1" xfId="10" applyFont="1" applyFill="1" applyBorder="1"/>
    <xf numFmtId="43" fontId="0" fillId="0" borderId="0" xfId="0" applyNumberFormat="1"/>
    <xf numFmtId="164" fontId="31" fillId="10" borderId="1" xfId="10" applyFont="1" applyFill="1" applyBorder="1"/>
    <xf numFmtId="165" fontId="54" fillId="0" borderId="0" xfId="11" applyFont="1" applyFill="1"/>
    <xf numFmtId="165" fontId="53" fillId="0" borderId="0" xfId="11" applyFont="1" applyFill="1"/>
    <xf numFmtId="165" fontId="54" fillId="11" borderId="0" xfId="11" applyFont="1" applyFill="1"/>
    <xf numFmtId="170" fontId="31" fillId="10" borderId="1" xfId="10" applyNumberFormat="1" applyFont="1" applyFill="1" applyBorder="1"/>
    <xf numFmtId="0" fontId="23" fillId="0" borderId="4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164" fontId="22" fillId="0" borderId="4" xfId="10" applyFont="1" applyFill="1" applyBorder="1" applyAlignment="1">
      <alignment horizontal="center" vertical="center"/>
    </xf>
    <xf numFmtId="164" fontId="22" fillId="0" borderId="5" xfId="10" applyFont="1" applyFill="1" applyBorder="1" applyAlignment="1">
      <alignment horizontal="center" vertical="center"/>
    </xf>
    <xf numFmtId="164" fontId="22" fillId="0" borderId="6" xfId="1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65" fontId="46" fillId="3" borderId="28" xfId="0" applyNumberFormat="1" applyFont="1" applyFill="1" applyBorder="1" applyAlignment="1">
      <alignment horizontal="left" vertical="center"/>
    </xf>
    <xf numFmtId="165" fontId="46" fillId="3" borderId="27" xfId="0" applyNumberFormat="1" applyFont="1" applyFill="1" applyBorder="1" applyAlignment="1">
      <alignment horizontal="left" vertical="center"/>
    </xf>
    <xf numFmtId="165" fontId="46" fillId="3" borderId="2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40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164" fontId="22" fillId="0" borderId="4" xfId="10" applyFont="1" applyFill="1" applyBorder="1" applyAlignment="1">
      <alignment horizontal="left" vertical="center"/>
    </xf>
    <xf numFmtId="164" fontId="18" fillId="0" borderId="5" xfId="10" applyFont="1" applyBorder="1" applyAlignment="1">
      <alignment vertical="center"/>
    </xf>
    <xf numFmtId="164" fontId="18" fillId="0" borderId="6" xfId="10" applyFont="1" applyBorder="1" applyAlignment="1">
      <alignment vertical="center"/>
    </xf>
    <xf numFmtId="0" fontId="23" fillId="0" borderId="4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164" fontId="44" fillId="0" borderId="4" xfId="10" applyFont="1" applyFill="1" applyBorder="1" applyAlignment="1">
      <alignment horizontal="left" vertical="center"/>
    </xf>
    <xf numFmtId="164" fontId="45" fillId="0" borderId="5" xfId="10" applyFont="1" applyBorder="1" applyAlignment="1">
      <alignment vertical="center"/>
    </xf>
    <xf numFmtId="164" fontId="45" fillId="0" borderId="6" xfId="10" applyFont="1" applyBorder="1" applyAlignment="1">
      <alignment vertical="center"/>
    </xf>
    <xf numFmtId="0" fontId="18" fillId="0" borderId="3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5" fillId="0" borderId="18" xfId="10" applyFont="1" applyBorder="1" applyAlignment="1">
      <alignment horizontal="center" vertical="center"/>
    </xf>
    <xf numFmtId="0" fontId="16" fillId="4" borderId="7" xfId="3" applyFont="1" applyFill="1" applyBorder="1" applyAlignment="1">
      <alignment horizontal="right" wrapText="1"/>
    </xf>
    <xf numFmtId="0" fontId="16" fillId="4" borderId="8" xfId="3" applyFont="1" applyFill="1" applyBorder="1" applyAlignment="1">
      <alignment horizontal="right" wrapText="1"/>
    </xf>
    <xf numFmtId="0" fontId="36" fillId="3" borderId="10" xfId="12" applyNumberFormat="1" applyFont="1" applyFill="1" applyBorder="1" applyAlignment="1">
      <alignment horizontal="center" vertical="center" wrapText="1"/>
    </xf>
    <xf numFmtId="0" fontId="36" fillId="3" borderId="26" xfId="12" applyNumberFormat="1" applyFont="1" applyFill="1" applyBorder="1" applyAlignment="1">
      <alignment horizontal="center" vertical="center" wrapText="1"/>
    </xf>
    <xf numFmtId="164" fontId="36" fillId="3" borderId="10" xfId="10" applyFont="1" applyFill="1" applyBorder="1" applyAlignment="1">
      <alignment horizontal="center" vertical="center" wrapText="1"/>
    </xf>
    <xf numFmtId="164" fontId="36" fillId="3" borderId="26" xfId="10" applyFont="1" applyFill="1" applyBorder="1" applyAlignment="1">
      <alignment horizontal="center" vertical="center" wrapText="1"/>
    </xf>
    <xf numFmtId="164" fontId="16" fillId="4" borderId="1" xfId="1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0" fillId="6" borderId="7" xfId="0" applyFont="1" applyFill="1" applyBorder="1" applyAlignment="1">
      <alignment horizontal="center"/>
    </xf>
    <xf numFmtId="0" fontId="50" fillId="6" borderId="16" xfId="0" applyFont="1" applyFill="1" applyBorder="1" applyAlignment="1">
      <alignment horizontal="center"/>
    </xf>
    <xf numFmtId="0" fontId="50" fillId="6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164" fontId="27" fillId="3" borderId="21" xfId="10" applyFont="1" applyFill="1" applyBorder="1" applyAlignment="1">
      <alignment horizontal="center" vertical="center"/>
    </xf>
    <xf numFmtId="164" fontId="27" fillId="3" borderId="24" xfId="10" applyFont="1" applyFill="1" applyBorder="1" applyAlignment="1">
      <alignment horizontal="center" vertical="center"/>
    </xf>
    <xf numFmtId="164" fontId="27" fillId="3" borderId="21" xfId="10" applyFont="1" applyFill="1" applyBorder="1" applyAlignment="1">
      <alignment horizontal="center" vertical="center" wrapText="1"/>
    </xf>
    <xf numFmtId="164" fontId="27" fillId="3" borderId="24" xfId="1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50" fillId="3" borderId="30" xfId="0" applyFont="1" applyFill="1" applyBorder="1" applyAlignment="1">
      <alignment horizontal="center" vertical="center" wrapText="1"/>
    </xf>
    <xf numFmtId="0" fontId="50" fillId="3" borderId="31" xfId="0" applyFont="1" applyFill="1" applyBorder="1" applyAlignment="1">
      <alignment horizontal="center" vertical="center" wrapText="1"/>
    </xf>
    <xf numFmtId="0" fontId="50" fillId="3" borderId="22" xfId="0" applyFont="1" applyFill="1" applyBorder="1" applyAlignment="1">
      <alignment horizontal="center" vertical="center"/>
    </xf>
    <xf numFmtId="0" fontId="50" fillId="3" borderId="2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164" fontId="50" fillId="3" borderId="21" xfId="10" applyFont="1" applyFill="1" applyBorder="1" applyAlignment="1">
      <alignment horizontal="center" vertical="center"/>
    </xf>
    <xf numFmtId="164" fontId="50" fillId="3" borderId="24" xfId="10" applyFont="1" applyFill="1" applyBorder="1" applyAlignment="1">
      <alignment horizontal="center" vertical="center"/>
    </xf>
    <xf numFmtId="164" fontId="50" fillId="3" borderId="21" xfId="10" applyFont="1" applyFill="1" applyBorder="1" applyAlignment="1">
      <alignment horizontal="center" vertical="center" wrapText="1"/>
    </xf>
    <xf numFmtId="164" fontId="50" fillId="3" borderId="24" xfId="10" applyFont="1" applyFill="1" applyBorder="1" applyAlignment="1">
      <alignment horizontal="center" vertical="center" wrapText="1"/>
    </xf>
    <xf numFmtId="0" fontId="50" fillId="3" borderId="20" xfId="0" applyFont="1" applyFill="1" applyBorder="1" applyAlignment="1">
      <alignment horizontal="center" vertical="center" wrapText="1"/>
    </xf>
    <xf numFmtId="0" fontId="50" fillId="3" borderId="23" xfId="0" applyFont="1" applyFill="1" applyBorder="1" applyAlignment="1">
      <alignment horizontal="center" vertical="center" wrapText="1"/>
    </xf>
    <xf numFmtId="0" fontId="50" fillId="3" borderId="21" xfId="0" applyFont="1" applyFill="1" applyBorder="1" applyAlignment="1">
      <alignment horizontal="center" vertical="center" wrapText="1"/>
    </xf>
    <xf numFmtId="0" fontId="50" fillId="3" borderId="24" xfId="0" applyFont="1" applyFill="1" applyBorder="1" applyAlignment="1">
      <alignment horizontal="center" vertical="center" wrapText="1"/>
    </xf>
  </cellXfs>
  <cellStyles count="45">
    <cellStyle name="Euro" xfId="17"/>
    <cellStyle name="Excel Built-in Normal" xfId="1"/>
    <cellStyle name="Hipervínculo" xfId="4" builtinId="8" hidden="1"/>
    <cellStyle name="Hipervínculo" xfId="6" builtinId="8" hidden="1"/>
    <cellStyle name="Hipervínculo" xfId="8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1" builtinId="3"/>
    <cellStyle name="Millares 2" xfId="2"/>
    <cellStyle name="Millares 2 2" xfId="16"/>
    <cellStyle name="Millares 3" xfId="14"/>
    <cellStyle name="Millares 3 2" xfId="18"/>
    <cellStyle name="Millares 4" xfId="19"/>
    <cellStyle name="Millares 5" xfId="20"/>
    <cellStyle name="Moneda" xfId="10" builtinId="4"/>
    <cellStyle name="Moneda 2" xfId="21"/>
    <cellStyle name="Moneda 3" xfId="22"/>
    <cellStyle name="Moneda 3 2" xfId="23"/>
    <cellStyle name="Moneda 4" xfId="24"/>
    <cellStyle name="Moneda 4 2" xfId="25"/>
    <cellStyle name="Normal" xfId="0" builtinId="0"/>
    <cellStyle name="Normal 2" xfId="3"/>
    <cellStyle name="Normal 2 2" xfId="26"/>
    <cellStyle name="Normal 2 3" xfId="27"/>
    <cellStyle name="Normal 2 4" xfId="28"/>
    <cellStyle name="Normal 2 4 2" xfId="29"/>
    <cellStyle name="Normal 2 5" xfId="15"/>
    <cellStyle name="Normal 3" xfId="30"/>
    <cellStyle name="Normal 3 2" xfId="31"/>
    <cellStyle name="Normal 3 3" xfId="32"/>
    <cellStyle name="Normal 4" xfId="33"/>
    <cellStyle name="Normal 5" xfId="34"/>
    <cellStyle name="Normal 5 2" xfId="35"/>
    <cellStyle name="Normal 6" xfId="36"/>
    <cellStyle name="Normal 7" xfId="44"/>
    <cellStyle name="Normal_~9885111 2" xfId="12"/>
    <cellStyle name="Porcentaje 2" xfId="13"/>
    <cellStyle name="Porcentual 2" xfId="37"/>
    <cellStyle name="Porcentual 2 2" xfId="38"/>
    <cellStyle name="Porcentual 2 3" xfId="39"/>
    <cellStyle name="Porcentual 3" xfId="40"/>
    <cellStyle name="Porcentual 3 2" xfId="41"/>
    <cellStyle name="Porcentual 4" xfId="42"/>
    <cellStyle name="Porcentual 4 2" xfId="4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66FF"/>
      <color rgb="FFCC0000"/>
      <color rgb="FFFF99FF"/>
      <color rgb="FFFF3300"/>
      <color rgb="FFFF66FF"/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GRAFICAS!$B$1</c:f>
              <c:strCache>
                <c:ptCount val="1"/>
                <c:pt idx="0">
                  <c:v>PRESUPUESTO DE INGRESOS 2015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GRAFICAS!$B$2:$B$6</c:f>
              <c:strCache>
                <c:ptCount val="5"/>
                <c:pt idx="0">
                  <c:v>RECURSOS ESTATAL</c:v>
                </c:pt>
                <c:pt idx="1">
                  <c:v>RECURSOS FEDERAL PROYECTADO</c:v>
                </c:pt>
                <c:pt idx="2">
                  <c:v>INGRESOS PROPIOS PROYECTADO</c:v>
                </c:pt>
                <c:pt idx="3">
                  <c:v>REMANENTE EJERCICIO 2014</c:v>
                </c:pt>
                <c:pt idx="4">
                  <c:v>OTRAS (SECRETARIA DE DESARROLLO ECONOMICO)</c:v>
                </c:pt>
              </c:strCache>
            </c:strRef>
          </c:cat>
          <c:val>
            <c:numRef>
              <c:f>GRAFICAS!$C$2:$C$6</c:f>
              <c:numCache>
                <c:formatCode>_-"$"* #,##0.00_-;\-"$"* #,##0.00_-;_-"$"* "-"??_-;_-@_-</c:formatCode>
                <c:ptCount val="5"/>
                <c:pt idx="0">
                  <c:v>7637267</c:v>
                </c:pt>
                <c:pt idx="1">
                  <c:v>11402000</c:v>
                </c:pt>
                <c:pt idx="2">
                  <c:v>1690000</c:v>
                </c:pt>
                <c:pt idx="3">
                  <c:v>3192237.69</c:v>
                </c:pt>
                <c:pt idx="4">
                  <c:v>150000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14014757589263"/>
          <c:y val="0.79074994217209982"/>
          <c:w val="0.76985985242410737"/>
          <c:h val="0.141622627041483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GRAFICAS!$B$24</c:f>
              <c:strCache>
                <c:ptCount val="1"/>
                <c:pt idx="0">
                  <c:v>PRESUPUESTO 2015 POR OBJETO DEL GASTO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GRAFICAS!$B$25:$B$28</c:f>
              <c:strCache>
                <c:ptCount val="4"/>
                <c:pt idx="0">
                  <c:v>TOTAL CAPÍTULO 1000 Servicios Personales</c:v>
                </c:pt>
                <c:pt idx="1">
                  <c:v>TOTAL CAPÍTULO 2000 Materiales y Suministros</c:v>
                </c:pt>
                <c:pt idx="2">
                  <c:v>TOTAL CAPÍTULO 3000 Servicios Generales</c:v>
                </c:pt>
                <c:pt idx="3">
                  <c:v>TOTAL CAPÍTULO 5000 Bienes Muebles, Inmuebles e Intangibles</c:v>
                </c:pt>
              </c:strCache>
            </c:strRef>
          </c:cat>
          <c:val>
            <c:numRef>
              <c:f>GRAFICAS!$C$25:$C$28</c:f>
              <c:numCache>
                <c:formatCode>_-"$"* #,##0.00_-;\-"$"* #,##0.00_-;_-"$"* "-"??_-;_-@_-</c:formatCode>
                <c:ptCount val="4"/>
                <c:pt idx="0" formatCode="_-* #,##0.00_-;\-* #,##0.00_-;_-* &quot;-&quot;??_-;_-@_-">
                  <c:v>16642598</c:v>
                </c:pt>
                <c:pt idx="1">
                  <c:v>1711500</c:v>
                </c:pt>
                <c:pt idx="2" formatCode="_-* #,##0.00_-;\-* #,##0.00_-;_-* &quot;-&quot;??_-;_-@_-">
                  <c:v>4411905</c:v>
                </c:pt>
                <c:pt idx="3" formatCode="_-* #,##0.00_-;\-* #,##0.00_-;_-* &quot;-&quot;??_-;_-@_-">
                  <c:v>1305501.69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569149682869863"/>
          <c:y val="0.75402935805905846"/>
          <c:w val="0.60264168761724879"/>
          <c:h val="0.197976646858908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600199" cy="714375"/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0"/>
          <a:ext cx="160019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366711</xdr:rowOff>
    </xdr:from>
    <xdr:to>
      <xdr:col>12</xdr:col>
      <xdr:colOff>285750</xdr:colOff>
      <xdr:row>18</xdr:row>
      <xdr:rowOff>95249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381000</xdr:colOff>
      <xdr:row>19</xdr:row>
      <xdr:rowOff>147636</xdr:rowOff>
    </xdr:from>
    <xdr:to>
      <xdr:col>12</xdr:col>
      <xdr:colOff>161925</xdr:colOff>
      <xdr:row>41</xdr:row>
      <xdr:rowOff>190499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8901" cy="986117"/>
    <xdr:pic>
      <xdr:nvPicPr>
        <xdr:cNvPr id="3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8901" cy="98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76201</xdr:rowOff>
    </xdr:from>
    <xdr:to>
      <xdr:col>1</xdr:col>
      <xdr:colOff>152401</xdr:colOff>
      <xdr:row>3</xdr:row>
      <xdr:rowOff>82053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6201"/>
          <a:ext cx="1341120" cy="69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121921</xdr:rowOff>
    </xdr:from>
    <xdr:to>
      <xdr:col>1</xdr:col>
      <xdr:colOff>461011</xdr:colOff>
      <xdr:row>2</xdr:row>
      <xdr:rowOff>182881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1"/>
          <a:ext cx="143637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121920</xdr:rowOff>
    </xdr:from>
    <xdr:to>
      <xdr:col>1</xdr:col>
      <xdr:colOff>1111639</xdr:colOff>
      <xdr:row>3</xdr:row>
      <xdr:rowOff>342899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1920"/>
          <a:ext cx="2060328" cy="86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-0.249977111117893"/>
  </sheetPr>
  <dimension ref="A1:I192"/>
  <sheetViews>
    <sheetView tabSelected="1" workbookViewId="0">
      <selection activeCell="A20" sqref="A20:E20"/>
    </sheetView>
  </sheetViews>
  <sheetFormatPr baseColWidth="10" defaultColWidth="9.140625" defaultRowHeight="16.5" x14ac:dyDescent="0.3"/>
  <cols>
    <col min="1" max="1" width="33.85546875" style="7" customWidth="1"/>
    <col min="2" max="2" width="25.5703125" style="7" customWidth="1"/>
    <col min="3" max="3" width="15.5703125" style="7" bestFit="1" customWidth="1"/>
    <col min="4" max="4" width="9.140625" style="7"/>
    <col min="5" max="5" width="27.42578125" style="7" customWidth="1"/>
    <col min="6" max="7" width="9.140625" style="7"/>
    <col min="8" max="8" width="9.140625" style="3"/>
    <col min="9" max="9" width="30.85546875" style="3" customWidth="1"/>
    <col min="10" max="16384" width="9.140625" style="3"/>
  </cols>
  <sheetData>
    <row r="1" spans="1:9" ht="24.75" customHeight="1" x14ac:dyDescent="0.3">
      <c r="A1" s="211" t="s">
        <v>142</v>
      </c>
      <c r="B1" s="211"/>
      <c r="C1" s="211"/>
      <c r="D1" s="211"/>
      <c r="E1" s="211"/>
      <c r="F1" s="10"/>
    </row>
    <row r="2" spans="1:9" ht="18" customHeight="1" x14ac:dyDescent="0.3">
      <c r="A2" s="212" t="s">
        <v>209</v>
      </c>
      <c r="B2" s="212"/>
      <c r="C2" s="212"/>
      <c r="D2" s="212"/>
      <c r="E2" s="212"/>
      <c r="F2" s="9"/>
    </row>
    <row r="3" spans="1:9" ht="15" customHeight="1" x14ac:dyDescent="0.3">
      <c r="A3" s="213" t="s">
        <v>90</v>
      </c>
      <c r="B3" s="213"/>
      <c r="C3" s="213"/>
      <c r="D3" s="213"/>
      <c r="E3" s="213"/>
      <c r="F3" s="8"/>
    </row>
    <row r="4" spans="1:9" ht="17.25" thickBot="1" x14ac:dyDescent="0.35">
      <c r="A4" s="226" t="s">
        <v>202</v>
      </c>
      <c r="B4" s="226"/>
      <c r="C4" s="226"/>
      <c r="D4" s="226"/>
      <c r="E4" s="226"/>
    </row>
    <row r="5" spans="1:9" ht="17.25" thickBot="1" x14ac:dyDescent="0.35">
      <c r="A5" s="227" t="s">
        <v>204</v>
      </c>
      <c r="B5" s="227"/>
      <c r="C5" s="227"/>
      <c r="D5" s="227"/>
      <c r="E5" s="227"/>
    </row>
    <row r="6" spans="1:9" ht="57.75" customHeight="1" thickBot="1" x14ac:dyDescent="0.35">
      <c r="A6" s="219" t="s">
        <v>86</v>
      </c>
      <c r="B6" s="220"/>
      <c r="C6" s="219" t="s">
        <v>83</v>
      </c>
      <c r="D6" s="221"/>
      <c r="E6" s="222"/>
      <c r="I6" s="56"/>
    </row>
    <row r="7" spans="1:9" ht="27.75" customHeight="1" thickBot="1" x14ac:dyDescent="0.35">
      <c r="A7" s="217" t="s">
        <v>84</v>
      </c>
      <c r="B7" s="218"/>
      <c r="C7" s="214">
        <v>7637267</v>
      </c>
      <c r="D7" s="215"/>
      <c r="E7" s="216"/>
      <c r="I7" s="56"/>
    </row>
    <row r="8" spans="1:9" ht="30.75" customHeight="1" thickBot="1" x14ac:dyDescent="0.35">
      <c r="A8" s="217" t="s">
        <v>173</v>
      </c>
      <c r="B8" s="218"/>
      <c r="C8" s="223">
        <v>11402000</v>
      </c>
      <c r="D8" s="224"/>
      <c r="E8" s="225"/>
      <c r="I8" s="56"/>
    </row>
    <row r="9" spans="1:9" ht="27" customHeight="1" thickBot="1" x14ac:dyDescent="0.35">
      <c r="A9" s="217" t="s">
        <v>174</v>
      </c>
      <c r="B9" s="218"/>
      <c r="C9" s="214">
        <v>1690000</v>
      </c>
      <c r="D9" s="215"/>
      <c r="E9" s="216"/>
    </row>
    <row r="10" spans="1:9" ht="55.5" customHeight="1" thickBot="1" x14ac:dyDescent="0.35">
      <c r="A10" s="193" t="s">
        <v>172</v>
      </c>
      <c r="B10" s="194"/>
      <c r="C10" s="214">
        <v>3192237.69</v>
      </c>
      <c r="D10" s="215"/>
      <c r="E10" s="216"/>
      <c r="I10" s="57"/>
    </row>
    <row r="11" spans="1:9" ht="55.5" customHeight="1" thickBot="1" x14ac:dyDescent="0.35">
      <c r="A11" s="193" t="s">
        <v>197</v>
      </c>
      <c r="B11" s="194"/>
      <c r="C11" s="195">
        <v>150000</v>
      </c>
      <c r="D11" s="196"/>
      <c r="E11" s="197"/>
      <c r="I11" s="57"/>
    </row>
    <row r="12" spans="1:9" ht="36" customHeight="1" x14ac:dyDescent="0.3">
      <c r="A12" s="199" t="s">
        <v>0</v>
      </c>
      <c r="B12" s="200"/>
      <c r="C12" s="202">
        <f>SUM(C7:E11)</f>
        <v>24071504.690000001</v>
      </c>
      <c r="D12" s="203"/>
      <c r="E12" s="204"/>
      <c r="I12" s="63"/>
    </row>
    <row r="13" spans="1:9" x14ac:dyDescent="0.3">
      <c r="A13" s="198" t="s">
        <v>200</v>
      </c>
      <c r="B13" s="198"/>
      <c r="C13" s="198"/>
      <c r="D13" s="198"/>
      <c r="E13" s="198"/>
    </row>
    <row r="14" spans="1:9" s="1" customFormat="1" x14ac:dyDescent="0.3">
      <c r="A14" s="198"/>
      <c r="B14" s="198"/>
      <c r="C14" s="198"/>
      <c r="D14" s="198"/>
      <c r="E14" s="198"/>
      <c r="F14" s="7"/>
      <c r="G14" s="7"/>
      <c r="H14" s="3"/>
    </row>
    <row r="15" spans="1:9" s="1" customFormat="1" x14ac:dyDescent="0.3">
      <c r="A15" s="198"/>
      <c r="B15" s="198"/>
      <c r="C15" s="198"/>
      <c r="D15" s="198"/>
      <c r="E15" s="198"/>
      <c r="F15" s="7"/>
      <c r="G15" s="7"/>
    </row>
    <row r="16" spans="1:9" s="1" customFormat="1" x14ac:dyDescent="0.3">
      <c r="A16" s="205" t="s">
        <v>199</v>
      </c>
      <c r="B16" s="206"/>
      <c r="C16" s="206"/>
      <c r="D16" s="206"/>
      <c r="E16" s="207"/>
      <c r="F16" s="7"/>
      <c r="G16" s="7"/>
    </row>
    <row r="17" spans="1:7" s="1" customFormat="1" x14ac:dyDescent="0.3">
      <c r="A17" s="208"/>
      <c r="B17" s="209"/>
      <c r="C17" s="209"/>
      <c r="D17" s="209"/>
      <c r="E17" s="210"/>
      <c r="F17" s="7"/>
      <c r="G17" s="7"/>
    </row>
    <row r="18" spans="1:7" s="1" customFormat="1" x14ac:dyDescent="0.3">
      <c r="A18" s="7"/>
      <c r="B18" s="7"/>
      <c r="C18" s="7"/>
      <c r="D18" s="7"/>
      <c r="E18" s="7"/>
      <c r="F18" s="7"/>
      <c r="G18" s="7"/>
    </row>
    <row r="19" spans="1:7" s="1" customFormat="1" x14ac:dyDescent="0.3">
      <c r="A19" s="7"/>
      <c r="B19" s="7"/>
      <c r="C19" s="116"/>
      <c r="D19" s="7"/>
      <c r="E19" s="7"/>
      <c r="F19" s="7"/>
      <c r="G19" s="7"/>
    </row>
    <row r="20" spans="1:7" s="1" customFormat="1" ht="26.45" customHeight="1" x14ac:dyDescent="0.3">
      <c r="A20" s="201"/>
      <c r="B20" s="201"/>
      <c r="C20" s="201"/>
      <c r="D20" s="201"/>
      <c r="E20" s="201"/>
      <c r="F20" s="7"/>
      <c r="G20" s="7"/>
    </row>
    <row r="21" spans="1:7" s="1" customFormat="1" x14ac:dyDescent="0.3">
      <c r="A21" s="7"/>
      <c r="B21" s="7"/>
      <c r="C21" s="7"/>
      <c r="D21" s="7"/>
      <c r="E21" s="7"/>
      <c r="F21" s="7"/>
      <c r="G21" s="7"/>
    </row>
    <row r="22" spans="1:7" s="1" customFormat="1" x14ac:dyDescent="0.3">
      <c r="A22" s="7"/>
      <c r="B22" s="7"/>
      <c r="C22" s="7"/>
      <c r="D22" s="7"/>
      <c r="E22" s="7"/>
      <c r="F22" s="7"/>
      <c r="G22" s="7"/>
    </row>
    <row r="23" spans="1:7" s="1" customFormat="1" x14ac:dyDescent="0.3">
      <c r="A23" s="7"/>
      <c r="B23" s="7"/>
      <c r="C23" s="7"/>
      <c r="D23" s="7"/>
      <c r="E23" s="7"/>
      <c r="F23" s="7"/>
      <c r="G23" s="7"/>
    </row>
    <row r="24" spans="1:7" s="1" customFormat="1" x14ac:dyDescent="0.3">
      <c r="A24" s="7"/>
      <c r="B24" s="7"/>
      <c r="C24" s="7"/>
      <c r="D24" s="7"/>
      <c r="E24" s="7"/>
      <c r="F24" s="7"/>
      <c r="G24" s="7"/>
    </row>
    <row r="25" spans="1:7" s="1" customFormat="1" x14ac:dyDescent="0.3">
      <c r="A25" s="7"/>
      <c r="B25" s="7"/>
      <c r="C25" s="7"/>
      <c r="D25" s="7"/>
      <c r="E25" s="7"/>
      <c r="F25" s="7"/>
      <c r="G25" s="7"/>
    </row>
    <row r="26" spans="1:7" s="1" customFormat="1" x14ac:dyDescent="0.3">
      <c r="A26" s="7"/>
      <c r="B26" s="7"/>
      <c r="C26" s="7"/>
      <c r="D26" s="7"/>
      <c r="E26" s="7"/>
      <c r="F26" s="7"/>
      <c r="G26" s="7"/>
    </row>
    <row r="27" spans="1:7" s="1" customFormat="1" x14ac:dyDescent="0.3">
      <c r="A27" s="7"/>
      <c r="B27" s="7"/>
      <c r="C27" s="7"/>
      <c r="D27" s="7"/>
      <c r="E27" s="7"/>
      <c r="F27" s="7"/>
      <c r="G27" s="7"/>
    </row>
    <row r="28" spans="1:7" s="1" customFormat="1" x14ac:dyDescent="0.3">
      <c r="A28" s="7"/>
      <c r="B28" s="7"/>
      <c r="C28" s="7"/>
      <c r="D28" s="7"/>
      <c r="E28" s="7"/>
      <c r="F28" s="7"/>
      <c r="G28" s="7"/>
    </row>
    <row r="29" spans="1:7" s="1" customFormat="1" x14ac:dyDescent="0.3">
      <c r="A29" s="7"/>
      <c r="B29" s="7"/>
      <c r="C29" s="7"/>
      <c r="D29" s="7"/>
      <c r="E29" s="7"/>
      <c r="F29" s="7"/>
      <c r="G29" s="7"/>
    </row>
    <row r="30" spans="1:7" s="1" customFormat="1" x14ac:dyDescent="0.3">
      <c r="A30" s="7"/>
      <c r="B30" s="7"/>
      <c r="C30" s="7"/>
      <c r="D30" s="7"/>
      <c r="E30" s="7"/>
      <c r="F30" s="7"/>
      <c r="G30" s="7"/>
    </row>
    <row r="31" spans="1:7" s="1" customFormat="1" x14ac:dyDescent="0.3">
      <c r="A31" s="7"/>
      <c r="B31" s="7"/>
      <c r="C31" s="7"/>
      <c r="D31" s="7"/>
      <c r="E31" s="7"/>
      <c r="F31" s="7"/>
      <c r="G31" s="7"/>
    </row>
    <row r="32" spans="1:7" s="1" customFormat="1" x14ac:dyDescent="0.3">
      <c r="A32" s="7"/>
      <c r="B32" s="7"/>
      <c r="C32" s="7"/>
      <c r="D32" s="7"/>
      <c r="E32" s="7"/>
      <c r="F32" s="7"/>
      <c r="G32" s="7"/>
    </row>
    <row r="33" spans="1:7" s="1" customFormat="1" x14ac:dyDescent="0.3">
      <c r="A33" s="7"/>
      <c r="B33" s="7"/>
      <c r="C33" s="7"/>
      <c r="D33" s="7"/>
      <c r="E33" s="7"/>
      <c r="F33" s="7"/>
      <c r="G33" s="7"/>
    </row>
    <row r="34" spans="1:7" s="1" customFormat="1" x14ac:dyDescent="0.3">
      <c r="A34" s="7"/>
      <c r="B34" s="7"/>
      <c r="C34" s="7"/>
      <c r="D34" s="7"/>
      <c r="E34" s="7"/>
      <c r="F34" s="7"/>
      <c r="G34" s="7"/>
    </row>
    <row r="35" spans="1:7" s="1" customFormat="1" x14ac:dyDescent="0.3">
      <c r="A35" s="7"/>
      <c r="B35" s="7"/>
      <c r="C35" s="7"/>
      <c r="D35" s="7"/>
      <c r="E35" s="7"/>
      <c r="F35" s="7"/>
      <c r="G35" s="7"/>
    </row>
    <row r="36" spans="1:7" s="1" customFormat="1" x14ac:dyDescent="0.3">
      <c r="A36" s="7"/>
      <c r="B36" s="7"/>
      <c r="C36" s="7"/>
      <c r="D36" s="7"/>
      <c r="E36" s="7"/>
      <c r="F36" s="7"/>
      <c r="G36" s="7"/>
    </row>
    <row r="37" spans="1:7" s="1" customFormat="1" x14ac:dyDescent="0.3">
      <c r="A37" s="7"/>
      <c r="B37" s="7"/>
      <c r="C37" s="7"/>
      <c r="D37" s="7"/>
      <c r="E37" s="7"/>
      <c r="F37" s="7"/>
      <c r="G37" s="7"/>
    </row>
    <row r="38" spans="1:7" s="1" customFormat="1" x14ac:dyDescent="0.3">
      <c r="A38" s="7"/>
      <c r="B38" s="7"/>
      <c r="C38" s="7"/>
      <c r="D38" s="7"/>
      <c r="E38" s="7"/>
      <c r="F38" s="7"/>
      <c r="G38" s="7"/>
    </row>
    <row r="39" spans="1:7" s="1" customFormat="1" x14ac:dyDescent="0.3">
      <c r="A39" s="7"/>
      <c r="B39" s="7"/>
      <c r="C39" s="7"/>
      <c r="D39" s="7"/>
      <c r="E39" s="7"/>
      <c r="F39" s="7"/>
      <c r="G39" s="7"/>
    </row>
    <row r="40" spans="1:7" s="1" customFormat="1" x14ac:dyDescent="0.3">
      <c r="A40" s="7"/>
      <c r="B40" s="7"/>
      <c r="C40" s="7"/>
      <c r="D40" s="7"/>
      <c r="E40" s="7"/>
      <c r="F40" s="7"/>
      <c r="G40" s="7"/>
    </row>
    <row r="41" spans="1:7" s="1" customFormat="1" x14ac:dyDescent="0.3">
      <c r="A41" s="7"/>
      <c r="B41" s="7"/>
      <c r="C41" s="7"/>
      <c r="D41" s="7"/>
      <c r="E41" s="7"/>
      <c r="F41" s="7"/>
      <c r="G41" s="7"/>
    </row>
    <row r="42" spans="1:7" s="1" customFormat="1" x14ac:dyDescent="0.3">
      <c r="A42" s="7"/>
      <c r="B42" s="7"/>
      <c r="C42" s="7"/>
      <c r="D42" s="7"/>
      <c r="E42" s="7"/>
      <c r="F42" s="7"/>
      <c r="G42" s="7"/>
    </row>
    <row r="43" spans="1:7" s="1" customFormat="1" x14ac:dyDescent="0.3">
      <c r="A43" s="7"/>
      <c r="B43" s="7"/>
      <c r="C43" s="7"/>
      <c r="D43" s="7"/>
      <c r="E43" s="7"/>
      <c r="F43" s="7"/>
      <c r="G43" s="7"/>
    </row>
    <row r="44" spans="1:7" s="1" customFormat="1" x14ac:dyDescent="0.3">
      <c r="A44" s="7"/>
      <c r="B44" s="7"/>
      <c r="C44" s="7"/>
      <c r="D44" s="7"/>
      <c r="E44" s="7"/>
      <c r="F44" s="7"/>
      <c r="G44" s="7"/>
    </row>
    <row r="45" spans="1:7" s="1" customFormat="1" x14ac:dyDescent="0.3">
      <c r="A45" s="7"/>
      <c r="B45" s="7"/>
      <c r="C45" s="7"/>
      <c r="D45" s="7"/>
      <c r="E45" s="7"/>
      <c r="F45" s="7"/>
      <c r="G45" s="7"/>
    </row>
    <row r="46" spans="1:7" s="1" customFormat="1" x14ac:dyDescent="0.3">
      <c r="A46" s="7"/>
      <c r="B46" s="7"/>
      <c r="C46" s="7"/>
      <c r="D46" s="7"/>
      <c r="E46" s="7"/>
      <c r="F46" s="7"/>
      <c r="G46" s="7"/>
    </row>
    <row r="47" spans="1:7" s="1" customFormat="1" x14ac:dyDescent="0.3">
      <c r="A47" s="7"/>
      <c r="B47" s="7"/>
      <c r="C47" s="7"/>
      <c r="D47" s="7"/>
      <c r="E47" s="7"/>
      <c r="F47" s="7"/>
      <c r="G47" s="7"/>
    </row>
    <row r="48" spans="1:7" s="1" customFormat="1" x14ac:dyDescent="0.3">
      <c r="A48" s="7"/>
      <c r="B48" s="7"/>
      <c r="C48" s="7"/>
      <c r="D48" s="7"/>
      <c r="E48" s="7"/>
      <c r="F48" s="7"/>
      <c r="G48" s="7"/>
    </row>
    <row r="49" spans="1:7" s="1" customFormat="1" x14ac:dyDescent="0.3">
      <c r="A49" s="7"/>
      <c r="B49" s="7"/>
      <c r="C49" s="7"/>
      <c r="D49" s="7"/>
      <c r="E49" s="7"/>
      <c r="F49" s="7"/>
      <c r="G49" s="7"/>
    </row>
    <row r="50" spans="1:7" s="1" customFormat="1" x14ac:dyDescent="0.3">
      <c r="A50" s="7"/>
      <c r="B50" s="7"/>
      <c r="C50" s="7"/>
      <c r="D50" s="7"/>
      <c r="E50" s="7"/>
      <c r="F50" s="7"/>
      <c r="G50" s="7"/>
    </row>
    <row r="51" spans="1:7" s="1" customFormat="1" x14ac:dyDescent="0.3">
      <c r="A51" s="7"/>
      <c r="B51" s="7"/>
      <c r="C51" s="7"/>
      <c r="D51" s="7"/>
      <c r="E51" s="7"/>
      <c r="F51" s="7"/>
      <c r="G51" s="7"/>
    </row>
    <row r="52" spans="1:7" s="1" customFormat="1" x14ac:dyDescent="0.3">
      <c r="A52" s="7"/>
      <c r="B52" s="7"/>
      <c r="C52" s="7"/>
      <c r="D52" s="7"/>
      <c r="E52" s="7"/>
      <c r="F52" s="7"/>
      <c r="G52" s="7"/>
    </row>
    <row r="53" spans="1:7" s="1" customFormat="1" x14ac:dyDescent="0.3">
      <c r="A53" s="7"/>
      <c r="B53" s="7"/>
      <c r="C53" s="7"/>
      <c r="D53" s="7"/>
      <c r="E53" s="7"/>
      <c r="F53" s="7"/>
      <c r="G53" s="7"/>
    </row>
    <row r="54" spans="1:7" s="1" customFormat="1" x14ac:dyDescent="0.3">
      <c r="A54" s="7"/>
      <c r="B54" s="7"/>
      <c r="C54" s="7"/>
      <c r="D54" s="7"/>
      <c r="E54" s="7"/>
      <c r="F54" s="7"/>
      <c r="G54" s="7"/>
    </row>
    <row r="55" spans="1:7" s="1" customFormat="1" x14ac:dyDescent="0.3">
      <c r="A55" s="7"/>
      <c r="B55" s="7"/>
      <c r="C55" s="7"/>
      <c r="D55" s="7"/>
      <c r="E55" s="7"/>
      <c r="F55" s="7"/>
      <c r="G55" s="7"/>
    </row>
    <row r="56" spans="1:7" s="1" customFormat="1" x14ac:dyDescent="0.3">
      <c r="A56" s="7"/>
      <c r="B56" s="7"/>
      <c r="C56" s="7"/>
      <c r="D56" s="7"/>
      <c r="E56" s="7"/>
      <c r="F56" s="7"/>
      <c r="G56" s="7"/>
    </row>
    <row r="57" spans="1:7" s="1" customFormat="1" x14ac:dyDescent="0.3">
      <c r="A57" s="7"/>
      <c r="B57" s="7"/>
      <c r="C57" s="7"/>
      <c r="D57" s="7"/>
      <c r="E57" s="7"/>
      <c r="F57" s="7"/>
      <c r="G57" s="7"/>
    </row>
    <row r="58" spans="1:7" s="1" customFormat="1" x14ac:dyDescent="0.3">
      <c r="A58" s="7"/>
      <c r="B58" s="7"/>
      <c r="C58" s="7"/>
      <c r="D58" s="7"/>
      <c r="E58" s="7"/>
      <c r="F58" s="7"/>
      <c r="G58" s="7"/>
    </row>
    <row r="59" spans="1:7" s="1" customFormat="1" x14ac:dyDescent="0.3">
      <c r="A59" s="7"/>
      <c r="B59" s="7"/>
      <c r="C59" s="7"/>
      <c r="D59" s="7"/>
      <c r="E59" s="7"/>
      <c r="F59" s="7"/>
      <c r="G59" s="7"/>
    </row>
    <row r="60" spans="1:7" s="1" customFormat="1" x14ac:dyDescent="0.3">
      <c r="A60" s="7"/>
      <c r="B60" s="7"/>
      <c r="C60" s="7"/>
      <c r="D60" s="7"/>
      <c r="E60" s="7"/>
      <c r="F60" s="7"/>
      <c r="G60" s="7"/>
    </row>
    <row r="61" spans="1:7" s="1" customFormat="1" x14ac:dyDescent="0.3">
      <c r="A61" s="7"/>
      <c r="B61" s="7"/>
      <c r="C61" s="7"/>
      <c r="D61" s="7"/>
      <c r="E61" s="7"/>
      <c r="F61" s="7"/>
      <c r="G61" s="7"/>
    </row>
    <row r="62" spans="1:7" s="1" customFormat="1" x14ac:dyDescent="0.3">
      <c r="A62" s="7"/>
      <c r="B62" s="7"/>
      <c r="C62" s="7"/>
      <c r="D62" s="7"/>
      <c r="E62" s="7"/>
      <c r="F62" s="7"/>
      <c r="G62" s="7"/>
    </row>
    <row r="63" spans="1:7" s="1" customFormat="1" x14ac:dyDescent="0.3">
      <c r="A63" s="7"/>
      <c r="B63" s="7"/>
      <c r="C63" s="7"/>
      <c r="D63" s="7"/>
      <c r="E63" s="7"/>
      <c r="F63" s="7"/>
      <c r="G63" s="7"/>
    </row>
    <row r="64" spans="1:7" s="1" customFormat="1" x14ac:dyDescent="0.3">
      <c r="A64" s="7"/>
      <c r="B64" s="7"/>
      <c r="C64" s="7"/>
      <c r="D64" s="7"/>
      <c r="E64" s="7"/>
      <c r="F64" s="7"/>
      <c r="G64" s="7"/>
    </row>
    <row r="65" spans="1:7" s="1" customFormat="1" x14ac:dyDescent="0.3">
      <c r="A65" s="7"/>
      <c r="B65" s="7"/>
      <c r="C65" s="7"/>
      <c r="D65" s="7"/>
      <c r="E65" s="7"/>
      <c r="F65" s="7"/>
      <c r="G65" s="7"/>
    </row>
    <row r="66" spans="1:7" s="1" customFormat="1" x14ac:dyDescent="0.3">
      <c r="A66" s="7"/>
      <c r="B66" s="7"/>
      <c r="C66" s="7"/>
      <c r="D66" s="7"/>
      <c r="E66" s="7"/>
      <c r="F66" s="7"/>
      <c r="G66" s="7"/>
    </row>
    <row r="67" spans="1:7" s="1" customFormat="1" x14ac:dyDescent="0.3">
      <c r="A67" s="7"/>
      <c r="B67" s="7"/>
      <c r="C67" s="7"/>
      <c r="D67" s="7"/>
      <c r="E67" s="7"/>
      <c r="F67" s="7"/>
      <c r="G67" s="7"/>
    </row>
    <row r="68" spans="1:7" s="1" customFormat="1" x14ac:dyDescent="0.3">
      <c r="A68" s="7"/>
      <c r="B68" s="7"/>
      <c r="C68" s="7"/>
      <c r="D68" s="7"/>
      <c r="E68" s="7"/>
      <c r="F68" s="7"/>
      <c r="G68" s="7"/>
    </row>
    <row r="69" spans="1:7" s="1" customFormat="1" x14ac:dyDescent="0.3">
      <c r="A69" s="7"/>
      <c r="B69" s="7"/>
      <c r="C69" s="7"/>
      <c r="D69" s="7"/>
      <c r="E69" s="7"/>
      <c r="F69" s="7"/>
      <c r="G69" s="7"/>
    </row>
    <row r="70" spans="1:7" s="1" customFormat="1" x14ac:dyDescent="0.3">
      <c r="A70" s="7"/>
      <c r="B70" s="7"/>
      <c r="C70" s="7"/>
      <c r="D70" s="7"/>
      <c r="E70" s="7"/>
      <c r="F70" s="7"/>
      <c r="G70" s="7"/>
    </row>
    <row r="71" spans="1:7" s="1" customFormat="1" x14ac:dyDescent="0.3">
      <c r="A71" s="7"/>
      <c r="B71" s="7"/>
      <c r="C71" s="7"/>
      <c r="D71" s="7"/>
      <c r="E71" s="7"/>
      <c r="F71" s="7"/>
      <c r="G71" s="7"/>
    </row>
    <row r="72" spans="1:7" s="1" customFormat="1" x14ac:dyDescent="0.3">
      <c r="A72" s="7"/>
      <c r="B72" s="7"/>
      <c r="C72" s="7"/>
      <c r="D72" s="7"/>
      <c r="E72" s="7"/>
      <c r="F72" s="7"/>
      <c r="G72" s="7"/>
    </row>
    <row r="73" spans="1:7" s="1" customFormat="1" x14ac:dyDescent="0.3">
      <c r="A73" s="7"/>
      <c r="B73" s="7"/>
      <c r="C73" s="7"/>
      <c r="D73" s="7"/>
      <c r="E73" s="7"/>
      <c r="F73" s="7"/>
      <c r="G73" s="7"/>
    </row>
    <row r="74" spans="1:7" s="1" customFormat="1" x14ac:dyDescent="0.3">
      <c r="A74" s="7"/>
      <c r="B74" s="7"/>
      <c r="C74" s="7"/>
      <c r="D74" s="7"/>
      <c r="E74" s="7"/>
      <c r="F74" s="7"/>
      <c r="G74" s="7"/>
    </row>
    <row r="75" spans="1:7" s="1" customFormat="1" x14ac:dyDescent="0.3">
      <c r="A75" s="7"/>
      <c r="B75" s="7"/>
      <c r="C75" s="7"/>
      <c r="D75" s="7"/>
      <c r="E75" s="7"/>
      <c r="F75" s="7"/>
      <c r="G75" s="7"/>
    </row>
    <row r="76" spans="1:7" s="1" customFormat="1" x14ac:dyDescent="0.3">
      <c r="A76" s="7"/>
      <c r="B76" s="7"/>
      <c r="C76" s="7"/>
      <c r="D76" s="7"/>
      <c r="E76" s="7"/>
      <c r="F76" s="7"/>
      <c r="G76" s="7"/>
    </row>
    <row r="77" spans="1:7" s="1" customFormat="1" x14ac:dyDescent="0.3">
      <c r="A77" s="7"/>
      <c r="B77" s="7"/>
      <c r="C77" s="7"/>
      <c r="D77" s="7"/>
      <c r="E77" s="7"/>
      <c r="F77" s="7"/>
      <c r="G77" s="7"/>
    </row>
    <row r="78" spans="1:7" s="1" customFormat="1" x14ac:dyDescent="0.3">
      <c r="A78" s="7"/>
      <c r="B78" s="7"/>
      <c r="C78" s="7"/>
      <c r="D78" s="7"/>
      <c r="E78" s="7"/>
      <c r="F78" s="7"/>
      <c r="G78" s="7"/>
    </row>
    <row r="79" spans="1:7" s="1" customFormat="1" x14ac:dyDescent="0.3">
      <c r="A79" s="7"/>
      <c r="B79" s="7"/>
      <c r="C79" s="7"/>
      <c r="D79" s="7"/>
      <c r="E79" s="7"/>
      <c r="F79" s="7"/>
      <c r="G79" s="7"/>
    </row>
    <row r="80" spans="1:7" s="1" customFormat="1" x14ac:dyDescent="0.3">
      <c r="A80" s="7"/>
      <c r="B80" s="7"/>
      <c r="C80" s="7"/>
      <c r="D80" s="7"/>
      <c r="E80" s="7"/>
      <c r="F80" s="7"/>
      <c r="G80" s="7"/>
    </row>
    <row r="81" spans="1:7" s="1" customFormat="1" x14ac:dyDescent="0.3">
      <c r="A81" s="7"/>
      <c r="B81" s="7"/>
      <c r="C81" s="7"/>
      <c r="D81" s="7"/>
      <c r="E81" s="7"/>
      <c r="F81" s="7"/>
      <c r="G81" s="7"/>
    </row>
    <row r="82" spans="1:7" s="1" customFormat="1" x14ac:dyDescent="0.3">
      <c r="A82" s="7"/>
      <c r="B82" s="7"/>
      <c r="C82" s="7"/>
      <c r="D82" s="7"/>
      <c r="E82" s="7"/>
      <c r="F82" s="7"/>
      <c r="G82" s="7"/>
    </row>
    <row r="83" spans="1:7" s="1" customFormat="1" x14ac:dyDescent="0.3">
      <c r="A83" s="7"/>
      <c r="B83" s="7"/>
      <c r="C83" s="7"/>
      <c r="D83" s="7"/>
      <c r="E83" s="7"/>
      <c r="F83" s="7"/>
      <c r="G83" s="7"/>
    </row>
    <row r="84" spans="1:7" s="1" customFormat="1" x14ac:dyDescent="0.3">
      <c r="A84" s="7"/>
      <c r="B84" s="7"/>
      <c r="C84" s="7"/>
      <c r="D84" s="7"/>
      <c r="E84" s="7"/>
      <c r="F84" s="7"/>
      <c r="G84" s="7"/>
    </row>
    <row r="85" spans="1:7" s="1" customFormat="1" x14ac:dyDescent="0.3">
      <c r="A85" s="7"/>
      <c r="B85" s="7"/>
      <c r="C85" s="7"/>
      <c r="D85" s="7"/>
      <c r="E85" s="7"/>
      <c r="F85" s="7"/>
      <c r="G85" s="7"/>
    </row>
    <row r="86" spans="1:7" s="1" customFormat="1" x14ac:dyDescent="0.3">
      <c r="A86" s="7"/>
      <c r="B86" s="7"/>
      <c r="C86" s="7"/>
      <c r="D86" s="7"/>
      <c r="E86" s="7"/>
      <c r="F86" s="7"/>
      <c r="G86" s="7"/>
    </row>
    <row r="87" spans="1:7" s="1" customFormat="1" x14ac:dyDescent="0.3">
      <c r="A87" s="7"/>
      <c r="B87" s="7"/>
      <c r="C87" s="7"/>
      <c r="D87" s="7"/>
      <c r="E87" s="7"/>
      <c r="F87" s="7"/>
      <c r="G87" s="7"/>
    </row>
    <row r="88" spans="1:7" s="1" customFormat="1" x14ac:dyDescent="0.3">
      <c r="A88" s="7"/>
      <c r="B88" s="7"/>
      <c r="C88" s="7"/>
      <c r="D88" s="7"/>
      <c r="E88" s="7"/>
      <c r="F88" s="7"/>
      <c r="G88" s="7"/>
    </row>
    <row r="89" spans="1:7" s="1" customFormat="1" x14ac:dyDescent="0.3">
      <c r="A89" s="7"/>
      <c r="B89" s="7"/>
      <c r="C89" s="7"/>
      <c r="D89" s="7"/>
      <c r="E89" s="7"/>
      <c r="F89" s="7"/>
      <c r="G89" s="7"/>
    </row>
    <row r="90" spans="1:7" s="1" customFormat="1" x14ac:dyDescent="0.3">
      <c r="A90" s="7"/>
      <c r="B90" s="7"/>
      <c r="C90" s="7"/>
      <c r="D90" s="7"/>
      <c r="E90" s="7"/>
      <c r="F90" s="7"/>
      <c r="G90" s="7"/>
    </row>
    <row r="91" spans="1:7" s="1" customFormat="1" x14ac:dyDescent="0.3">
      <c r="A91" s="7"/>
      <c r="B91" s="7"/>
      <c r="C91" s="7"/>
      <c r="D91" s="7"/>
      <c r="E91" s="7"/>
      <c r="F91" s="7"/>
      <c r="G91" s="7"/>
    </row>
    <row r="92" spans="1:7" s="1" customFormat="1" x14ac:dyDescent="0.3">
      <c r="A92" s="7"/>
      <c r="B92" s="7"/>
      <c r="C92" s="7"/>
      <c r="D92" s="7"/>
      <c r="E92" s="7"/>
      <c r="F92" s="7"/>
      <c r="G92" s="7"/>
    </row>
    <row r="93" spans="1:7" s="1" customFormat="1" x14ac:dyDescent="0.3">
      <c r="A93" s="7"/>
      <c r="B93" s="7"/>
      <c r="C93" s="7"/>
      <c r="D93" s="7"/>
      <c r="E93" s="7"/>
      <c r="F93" s="7"/>
      <c r="G93" s="7"/>
    </row>
    <row r="94" spans="1:7" s="1" customFormat="1" x14ac:dyDescent="0.3">
      <c r="A94" s="7"/>
      <c r="B94" s="7"/>
      <c r="C94" s="7"/>
      <c r="D94" s="7"/>
      <c r="E94" s="7"/>
      <c r="F94" s="7"/>
      <c r="G94" s="7"/>
    </row>
    <row r="95" spans="1:7" s="1" customFormat="1" x14ac:dyDescent="0.3">
      <c r="A95" s="7"/>
      <c r="B95" s="7"/>
      <c r="C95" s="7"/>
      <c r="D95" s="7"/>
      <c r="E95" s="7"/>
      <c r="F95" s="7"/>
      <c r="G95" s="7"/>
    </row>
    <row r="96" spans="1:7" s="1" customFormat="1" x14ac:dyDescent="0.3">
      <c r="A96" s="7"/>
      <c r="B96" s="7"/>
      <c r="C96" s="7"/>
      <c r="D96" s="7"/>
      <c r="E96" s="7"/>
      <c r="F96" s="7"/>
      <c r="G96" s="7"/>
    </row>
    <row r="97" spans="1:7" s="1" customFormat="1" x14ac:dyDescent="0.3">
      <c r="A97" s="7"/>
      <c r="B97" s="7"/>
      <c r="C97" s="7"/>
      <c r="D97" s="7"/>
      <c r="E97" s="7"/>
      <c r="F97" s="7"/>
      <c r="G97" s="7"/>
    </row>
    <row r="98" spans="1:7" s="1" customFormat="1" x14ac:dyDescent="0.3">
      <c r="A98" s="7"/>
      <c r="B98" s="7"/>
      <c r="C98" s="7"/>
      <c r="D98" s="7"/>
      <c r="E98" s="7"/>
      <c r="F98" s="7"/>
      <c r="G98" s="7"/>
    </row>
    <row r="99" spans="1:7" s="1" customFormat="1" x14ac:dyDescent="0.3">
      <c r="A99" s="7"/>
      <c r="B99" s="7"/>
      <c r="C99" s="7"/>
      <c r="D99" s="7"/>
      <c r="E99" s="7"/>
      <c r="F99" s="7"/>
      <c r="G99" s="7"/>
    </row>
    <row r="100" spans="1:7" s="1" customFormat="1" x14ac:dyDescent="0.3">
      <c r="A100" s="7"/>
      <c r="B100" s="7"/>
      <c r="C100" s="7"/>
      <c r="D100" s="7"/>
      <c r="E100" s="7"/>
      <c r="F100" s="7"/>
      <c r="G100" s="7"/>
    </row>
    <row r="101" spans="1:7" s="1" customFormat="1" x14ac:dyDescent="0.3">
      <c r="A101" s="7"/>
      <c r="B101" s="7"/>
      <c r="C101" s="7"/>
      <c r="D101" s="7"/>
      <c r="E101" s="7"/>
      <c r="F101" s="7"/>
      <c r="G101" s="7"/>
    </row>
    <row r="102" spans="1:7" s="1" customFormat="1" x14ac:dyDescent="0.3">
      <c r="A102" s="7"/>
      <c r="B102" s="7"/>
      <c r="C102" s="7"/>
      <c r="D102" s="7"/>
      <c r="E102" s="7"/>
      <c r="F102" s="7"/>
      <c r="G102" s="7"/>
    </row>
    <row r="103" spans="1:7" s="1" customFormat="1" x14ac:dyDescent="0.3">
      <c r="A103" s="7"/>
      <c r="B103" s="7"/>
      <c r="C103" s="7"/>
      <c r="D103" s="7"/>
      <c r="E103" s="7"/>
      <c r="F103" s="7"/>
      <c r="G103" s="7"/>
    </row>
    <row r="104" spans="1:7" s="1" customFormat="1" x14ac:dyDescent="0.3">
      <c r="A104" s="7"/>
      <c r="B104" s="7"/>
      <c r="C104" s="7"/>
      <c r="D104" s="7"/>
      <c r="E104" s="7"/>
      <c r="F104" s="7"/>
      <c r="G104" s="7"/>
    </row>
    <row r="105" spans="1:7" s="1" customFormat="1" x14ac:dyDescent="0.3">
      <c r="A105" s="7"/>
      <c r="B105" s="7"/>
      <c r="C105" s="7"/>
      <c r="D105" s="7"/>
      <c r="E105" s="7"/>
      <c r="F105" s="7"/>
      <c r="G105" s="7"/>
    </row>
    <row r="106" spans="1:7" s="1" customFormat="1" x14ac:dyDescent="0.3">
      <c r="A106" s="7"/>
      <c r="B106" s="7"/>
      <c r="C106" s="7"/>
      <c r="D106" s="7"/>
      <c r="E106" s="7"/>
      <c r="F106" s="7"/>
      <c r="G106" s="7"/>
    </row>
    <row r="107" spans="1:7" s="1" customFormat="1" x14ac:dyDescent="0.3">
      <c r="A107" s="7"/>
      <c r="B107" s="7"/>
      <c r="C107" s="7"/>
      <c r="D107" s="7"/>
      <c r="E107" s="7"/>
      <c r="F107" s="7"/>
      <c r="G107" s="7"/>
    </row>
    <row r="108" spans="1:7" s="1" customFormat="1" x14ac:dyDescent="0.3">
      <c r="A108" s="7"/>
      <c r="B108" s="7"/>
      <c r="C108" s="7"/>
      <c r="D108" s="7"/>
      <c r="E108" s="7"/>
      <c r="F108" s="7"/>
      <c r="G108" s="7"/>
    </row>
    <row r="109" spans="1:7" s="1" customFormat="1" x14ac:dyDescent="0.3">
      <c r="A109" s="7"/>
      <c r="B109" s="7"/>
      <c r="C109" s="7"/>
      <c r="D109" s="7"/>
      <c r="E109" s="7"/>
      <c r="F109" s="7"/>
      <c r="G109" s="7"/>
    </row>
    <row r="110" spans="1:7" s="1" customFormat="1" x14ac:dyDescent="0.3">
      <c r="A110" s="7"/>
      <c r="B110" s="7"/>
      <c r="C110" s="7"/>
      <c r="D110" s="7"/>
      <c r="E110" s="7"/>
      <c r="F110" s="7"/>
      <c r="G110" s="7"/>
    </row>
    <row r="111" spans="1:7" s="1" customFormat="1" x14ac:dyDescent="0.3">
      <c r="A111" s="7"/>
      <c r="B111" s="7"/>
      <c r="C111" s="7"/>
      <c r="D111" s="7"/>
      <c r="E111" s="7"/>
      <c r="F111" s="7"/>
      <c r="G111" s="7"/>
    </row>
    <row r="112" spans="1:7" s="1" customFormat="1" x14ac:dyDescent="0.3">
      <c r="A112" s="7"/>
      <c r="B112" s="7"/>
      <c r="C112" s="7"/>
      <c r="D112" s="7"/>
      <c r="E112" s="7"/>
      <c r="F112" s="7"/>
      <c r="G112" s="7"/>
    </row>
    <row r="113" spans="1:7" s="1" customFormat="1" x14ac:dyDescent="0.3">
      <c r="A113" s="7"/>
      <c r="B113" s="7"/>
      <c r="C113" s="7"/>
      <c r="D113" s="7"/>
      <c r="E113" s="7"/>
      <c r="F113" s="7"/>
      <c r="G113" s="7"/>
    </row>
    <row r="114" spans="1:7" s="1" customFormat="1" x14ac:dyDescent="0.3">
      <c r="A114" s="7"/>
      <c r="B114" s="7"/>
      <c r="C114" s="7"/>
      <c r="D114" s="7"/>
      <c r="E114" s="7"/>
      <c r="F114" s="7"/>
      <c r="G114" s="7"/>
    </row>
    <row r="115" spans="1:7" s="1" customFormat="1" x14ac:dyDescent="0.3">
      <c r="A115" s="7"/>
      <c r="B115" s="7"/>
      <c r="C115" s="7"/>
      <c r="D115" s="7"/>
      <c r="E115" s="7"/>
      <c r="F115" s="7"/>
      <c r="G115" s="7"/>
    </row>
    <row r="116" spans="1:7" s="1" customFormat="1" x14ac:dyDescent="0.3">
      <c r="A116" s="7"/>
      <c r="B116" s="7"/>
      <c r="C116" s="7"/>
      <c r="D116" s="7"/>
      <c r="E116" s="7"/>
      <c r="F116" s="7"/>
      <c r="G116" s="7"/>
    </row>
    <row r="117" spans="1:7" s="1" customFormat="1" x14ac:dyDescent="0.3">
      <c r="A117" s="7"/>
      <c r="B117" s="7"/>
      <c r="C117" s="7"/>
      <c r="D117" s="7"/>
      <c r="E117" s="7"/>
      <c r="F117" s="7"/>
      <c r="G117" s="7"/>
    </row>
    <row r="118" spans="1:7" s="1" customFormat="1" x14ac:dyDescent="0.3">
      <c r="A118" s="7"/>
      <c r="B118" s="7"/>
      <c r="C118" s="7"/>
      <c r="D118" s="7"/>
      <c r="E118" s="7"/>
      <c r="F118" s="7"/>
      <c r="G118" s="7"/>
    </row>
    <row r="119" spans="1:7" s="1" customFormat="1" x14ac:dyDescent="0.3">
      <c r="A119" s="7"/>
      <c r="B119" s="7"/>
      <c r="C119" s="7"/>
      <c r="D119" s="7"/>
      <c r="E119" s="7"/>
      <c r="F119" s="7"/>
      <c r="G119" s="7"/>
    </row>
    <row r="120" spans="1:7" s="1" customFormat="1" x14ac:dyDescent="0.3">
      <c r="A120" s="7"/>
      <c r="B120" s="7"/>
      <c r="C120" s="7"/>
      <c r="D120" s="7"/>
      <c r="E120" s="7"/>
      <c r="F120" s="7"/>
      <c r="G120" s="7"/>
    </row>
    <row r="121" spans="1:7" s="1" customFormat="1" x14ac:dyDescent="0.3">
      <c r="A121" s="7"/>
      <c r="B121" s="7"/>
      <c r="C121" s="7"/>
      <c r="D121" s="7"/>
      <c r="E121" s="7"/>
      <c r="F121" s="7"/>
      <c r="G121" s="7"/>
    </row>
    <row r="122" spans="1:7" s="1" customFormat="1" x14ac:dyDescent="0.3">
      <c r="A122" s="7"/>
      <c r="B122" s="7"/>
      <c r="C122" s="7"/>
      <c r="D122" s="7"/>
      <c r="E122" s="7"/>
      <c r="F122" s="7"/>
      <c r="G122" s="7"/>
    </row>
    <row r="123" spans="1:7" s="1" customFormat="1" x14ac:dyDescent="0.3">
      <c r="A123" s="7"/>
      <c r="B123" s="7"/>
      <c r="C123" s="7"/>
      <c r="D123" s="7"/>
      <c r="E123" s="7"/>
      <c r="F123" s="7"/>
      <c r="G123" s="7"/>
    </row>
    <row r="124" spans="1:7" s="1" customFormat="1" x14ac:dyDescent="0.3">
      <c r="A124" s="7"/>
      <c r="B124" s="7"/>
      <c r="C124" s="7"/>
      <c r="D124" s="7"/>
      <c r="E124" s="7"/>
      <c r="F124" s="7"/>
      <c r="G124" s="7"/>
    </row>
    <row r="125" spans="1:7" s="1" customFormat="1" x14ac:dyDescent="0.3">
      <c r="A125" s="7"/>
      <c r="B125" s="7"/>
      <c r="C125" s="7"/>
      <c r="D125" s="7"/>
      <c r="E125" s="7"/>
      <c r="F125" s="7"/>
      <c r="G125" s="7"/>
    </row>
    <row r="126" spans="1:7" s="1" customFormat="1" x14ac:dyDescent="0.3">
      <c r="A126" s="7"/>
      <c r="B126" s="7"/>
      <c r="C126" s="7"/>
      <c r="D126" s="7"/>
      <c r="E126" s="7"/>
      <c r="F126" s="7"/>
      <c r="G126" s="7"/>
    </row>
    <row r="127" spans="1:7" s="1" customFormat="1" x14ac:dyDescent="0.3">
      <c r="A127" s="7"/>
      <c r="B127" s="7"/>
      <c r="C127" s="7"/>
      <c r="D127" s="7"/>
      <c r="E127" s="7"/>
      <c r="F127" s="7"/>
      <c r="G127" s="7"/>
    </row>
    <row r="128" spans="1:7" s="1" customFormat="1" x14ac:dyDescent="0.3">
      <c r="A128" s="7"/>
      <c r="B128" s="7"/>
      <c r="C128" s="7"/>
      <c r="D128" s="7"/>
      <c r="E128" s="7"/>
      <c r="F128" s="7"/>
      <c r="G128" s="7"/>
    </row>
    <row r="129" spans="1:7" s="1" customFormat="1" x14ac:dyDescent="0.3">
      <c r="A129" s="7"/>
      <c r="B129" s="7"/>
      <c r="C129" s="7"/>
      <c r="D129" s="7"/>
      <c r="E129" s="7"/>
      <c r="F129" s="7"/>
      <c r="G129" s="7"/>
    </row>
    <row r="130" spans="1:7" s="1" customFormat="1" x14ac:dyDescent="0.3">
      <c r="A130" s="7"/>
      <c r="B130" s="7"/>
      <c r="C130" s="7"/>
      <c r="D130" s="7"/>
      <c r="E130" s="7"/>
      <c r="F130" s="7"/>
      <c r="G130" s="7"/>
    </row>
    <row r="131" spans="1:7" s="1" customFormat="1" x14ac:dyDescent="0.3">
      <c r="A131" s="7"/>
      <c r="B131" s="7"/>
      <c r="C131" s="7"/>
      <c r="D131" s="7"/>
      <c r="E131" s="7"/>
      <c r="F131" s="7"/>
      <c r="G131" s="7"/>
    </row>
    <row r="132" spans="1:7" s="1" customFormat="1" x14ac:dyDescent="0.3">
      <c r="A132" s="7"/>
      <c r="B132" s="7"/>
      <c r="C132" s="7"/>
      <c r="D132" s="7"/>
      <c r="E132" s="7"/>
      <c r="F132" s="7"/>
      <c r="G132" s="7"/>
    </row>
    <row r="133" spans="1:7" s="1" customFormat="1" x14ac:dyDescent="0.3">
      <c r="A133" s="7"/>
      <c r="B133" s="7"/>
      <c r="C133" s="7"/>
      <c r="D133" s="7"/>
      <c r="E133" s="7"/>
      <c r="F133" s="7"/>
      <c r="G133" s="7"/>
    </row>
    <row r="134" spans="1:7" s="1" customFormat="1" x14ac:dyDescent="0.3">
      <c r="A134" s="7"/>
      <c r="B134" s="7"/>
      <c r="C134" s="7"/>
      <c r="D134" s="7"/>
      <c r="E134" s="7"/>
      <c r="F134" s="7"/>
      <c r="G134" s="7"/>
    </row>
    <row r="135" spans="1:7" s="1" customFormat="1" x14ac:dyDescent="0.3">
      <c r="A135" s="7"/>
      <c r="B135" s="7"/>
      <c r="C135" s="7"/>
      <c r="D135" s="7"/>
      <c r="E135" s="7"/>
      <c r="F135" s="7"/>
      <c r="G135" s="7"/>
    </row>
    <row r="136" spans="1:7" s="1" customFormat="1" x14ac:dyDescent="0.3">
      <c r="A136" s="7"/>
      <c r="B136" s="7"/>
      <c r="C136" s="7"/>
      <c r="D136" s="7"/>
      <c r="E136" s="7"/>
      <c r="F136" s="7"/>
      <c r="G136" s="7"/>
    </row>
    <row r="137" spans="1:7" s="1" customFormat="1" x14ac:dyDescent="0.3">
      <c r="A137" s="7"/>
      <c r="B137" s="7"/>
      <c r="C137" s="7"/>
      <c r="D137" s="7"/>
      <c r="E137" s="7"/>
      <c r="F137" s="7"/>
      <c r="G137" s="7"/>
    </row>
    <row r="138" spans="1:7" s="1" customFormat="1" x14ac:dyDescent="0.3">
      <c r="A138" s="7"/>
      <c r="B138" s="7"/>
      <c r="C138" s="7"/>
      <c r="D138" s="7"/>
      <c r="E138" s="7"/>
      <c r="F138" s="7"/>
      <c r="G138" s="7"/>
    </row>
    <row r="139" spans="1:7" s="1" customFormat="1" x14ac:dyDescent="0.3">
      <c r="A139" s="7"/>
      <c r="B139" s="7"/>
      <c r="C139" s="7"/>
      <c r="D139" s="7"/>
      <c r="E139" s="7"/>
      <c r="F139" s="7"/>
      <c r="G139" s="7"/>
    </row>
    <row r="140" spans="1:7" s="1" customFormat="1" x14ac:dyDescent="0.3">
      <c r="A140" s="7"/>
      <c r="B140" s="7"/>
      <c r="C140" s="7"/>
      <c r="D140" s="7"/>
      <c r="E140" s="7"/>
      <c r="F140" s="7"/>
      <c r="G140" s="7"/>
    </row>
    <row r="141" spans="1:7" s="1" customFormat="1" x14ac:dyDescent="0.3">
      <c r="A141" s="7"/>
      <c r="B141" s="7"/>
      <c r="C141" s="7"/>
      <c r="D141" s="7"/>
      <c r="E141" s="7"/>
      <c r="F141" s="7"/>
      <c r="G141" s="7"/>
    </row>
    <row r="142" spans="1:7" s="1" customFormat="1" x14ac:dyDescent="0.3">
      <c r="A142" s="7"/>
      <c r="B142" s="7"/>
      <c r="C142" s="7"/>
      <c r="D142" s="7"/>
      <c r="E142" s="7"/>
      <c r="F142" s="7"/>
      <c r="G142" s="7"/>
    </row>
    <row r="143" spans="1:7" s="1" customFormat="1" x14ac:dyDescent="0.3">
      <c r="A143" s="7"/>
      <c r="B143" s="7"/>
      <c r="C143" s="7"/>
      <c r="D143" s="7"/>
      <c r="E143" s="7"/>
      <c r="F143" s="7"/>
      <c r="G143" s="7"/>
    </row>
    <row r="144" spans="1:7" s="1" customFormat="1" x14ac:dyDescent="0.3">
      <c r="A144" s="7"/>
      <c r="B144" s="7"/>
      <c r="C144" s="7"/>
      <c r="D144" s="7"/>
      <c r="E144" s="7"/>
      <c r="F144" s="7"/>
      <c r="G144" s="7"/>
    </row>
    <row r="145" spans="1:7" s="1" customFormat="1" x14ac:dyDescent="0.3">
      <c r="A145" s="7"/>
      <c r="B145" s="7"/>
      <c r="C145" s="7"/>
      <c r="D145" s="7"/>
      <c r="E145" s="7"/>
      <c r="F145" s="7"/>
      <c r="G145" s="7"/>
    </row>
    <row r="146" spans="1:7" s="1" customFormat="1" x14ac:dyDescent="0.3">
      <c r="A146" s="7"/>
      <c r="B146" s="7"/>
      <c r="C146" s="7"/>
      <c r="D146" s="7"/>
      <c r="E146" s="7"/>
      <c r="F146" s="7"/>
      <c r="G146" s="7"/>
    </row>
    <row r="147" spans="1:7" s="1" customFormat="1" x14ac:dyDescent="0.3">
      <c r="A147" s="7"/>
      <c r="B147" s="7"/>
      <c r="C147" s="7"/>
      <c r="D147" s="7"/>
      <c r="E147" s="7"/>
      <c r="F147" s="7"/>
      <c r="G147" s="7"/>
    </row>
    <row r="148" spans="1:7" s="1" customFormat="1" x14ac:dyDescent="0.3">
      <c r="A148" s="7"/>
      <c r="B148" s="7"/>
      <c r="C148" s="7"/>
      <c r="D148" s="7"/>
      <c r="E148" s="7"/>
      <c r="F148" s="7"/>
      <c r="G148" s="7"/>
    </row>
    <row r="149" spans="1:7" s="1" customFormat="1" x14ac:dyDescent="0.3">
      <c r="A149" s="7"/>
      <c r="B149" s="7"/>
      <c r="C149" s="7"/>
      <c r="D149" s="7"/>
      <c r="E149" s="7"/>
      <c r="F149" s="7"/>
      <c r="G149" s="7"/>
    </row>
    <row r="150" spans="1:7" s="1" customFormat="1" x14ac:dyDescent="0.3">
      <c r="A150" s="7"/>
      <c r="B150" s="7"/>
      <c r="C150" s="7"/>
      <c r="D150" s="7"/>
      <c r="E150" s="7"/>
      <c r="F150" s="7"/>
      <c r="G150" s="7"/>
    </row>
    <row r="151" spans="1:7" s="1" customFormat="1" x14ac:dyDescent="0.3">
      <c r="A151" s="7"/>
      <c r="B151" s="7"/>
      <c r="C151" s="7"/>
      <c r="D151" s="7"/>
      <c r="E151" s="7"/>
      <c r="F151" s="7"/>
      <c r="G151" s="7"/>
    </row>
    <row r="152" spans="1:7" s="1" customFormat="1" x14ac:dyDescent="0.3">
      <c r="A152" s="7"/>
      <c r="B152" s="7"/>
      <c r="C152" s="7"/>
      <c r="D152" s="7"/>
      <c r="E152" s="7"/>
      <c r="F152" s="7"/>
      <c r="G152" s="7"/>
    </row>
    <row r="153" spans="1:7" s="1" customFormat="1" x14ac:dyDescent="0.3">
      <c r="A153" s="7"/>
      <c r="B153" s="7"/>
      <c r="C153" s="7"/>
      <c r="D153" s="7"/>
      <c r="E153" s="7"/>
      <c r="F153" s="7"/>
      <c r="G153" s="7"/>
    </row>
    <row r="154" spans="1:7" s="1" customFormat="1" x14ac:dyDescent="0.3">
      <c r="A154" s="7"/>
      <c r="B154" s="7"/>
      <c r="C154" s="7"/>
      <c r="D154" s="7"/>
      <c r="E154" s="7"/>
      <c r="F154" s="7"/>
      <c r="G154" s="7"/>
    </row>
    <row r="155" spans="1:7" s="1" customFormat="1" x14ac:dyDescent="0.3">
      <c r="A155" s="7"/>
      <c r="B155" s="7"/>
      <c r="C155" s="7"/>
      <c r="D155" s="7"/>
      <c r="E155" s="7"/>
      <c r="F155" s="7"/>
      <c r="G155" s="7"/>
    </row>
    <row r="156" spans="1:7" s="1" customFormat="1" x14ac:dyDescent="0.3">
      <c r="A156" s="7"/>
      <c r="B156" s="7"/>
      <c r="C156" s="7"/>
      <c r="D156" s="7"/>
      <c r="E156" s="7"/>
      <c r="F156" s="7"/>
      <c r="G156" s="7"/>
    </row>
    <row r="157" spans="1:7" s="1" customFormat="1" x14ac:dyDescent="0.3">
      <c r="A157" s="7"/>
      <c r="B157" s="7"/>
      <c r="C157" s="7"/>
      <c r="D157" s="7"/>
      <c r="E157" s="7"/>
      <c r="F157" s="7"/>
      <c r="G157" s="7"/>
    </row>
    <row r="158" spans="1:7" s="1" customFormat="1" x14ac:dyDescent="0.3">
      <c r="A158" s="7"/>
      <c r="B158" s="7"/>
      <c r="C158" s="7"/>
      <c r="D158" s="7"/>
      <c r="E158" s="7"/>
      <c r="F158" s="7"/>
      <c r="G158" s="7"/>
    </row>
    <row r="159" spans="1:7" s="1" customFormat="1" x14ac:dyDescent="0.3">
      <c r="A159" s="7"/>
      <c r="B159" s="7"/>
      <c r="C159" s="7"/>
      <c r="D159" s="7"/>
      <c r="E159" s="7"/>
      <c r="F159" s="7"/>
      <c r="G159" s="7"/>
    </row>
    <row r="160" spans="1:7" s="1" customFormat="1" x14ac:dyDescent="0.3">
      <c r="A160" s="7"/>
      <c r="B160" s="7"/>
      <c r="C160" s="7"/>
      <c r="D160" s="7"/>
      <c r="E160" s="7"/>
      <c r="F160" s="7"/>
      <c r="G160" s="7"/>
    </row>
    <row r="161" spans="1:7" s="1" customFormat="1" x14ac:dyDescent="0.3">
      <c r="A161" s="7"/>
      <c r="B161" s="7"/>
      <c r="C161" s="7"/>
      <c r="D161" s="7"/>
      <c r="E161" s="7"/>
      <c r="F161" s="7"/>
      <c r="G161" s="7"/>
    </row>
    <row r="162" spans="1:7" s="1" customFormat="1" x14ac:dyDescent="0.3">
      <c r="A162" s="7"/>
      <c r="B162" s="7"/>
      <c r="C162" s="7"/>
      <c r="D162" s="7"/>
      <c r="E162" s="7"/>
      <c r="F162" s="7"/>
      <c r="G162" s="7"/>
    </row>
    <row r="163" spans="1:7" s="1" customFormat="1" x14ac:dyDescent="0.3">
      <c r="A163" s="7"/>
      <c r="B163" s="7"/>
      <c r="C163" s="7"/>
      <c r="D163" s="7"/>
      <c r="E163" s="7"/>
      <c r="F163" s="7"/>
      <c r="G163" s="7"/>
    </row>
    <row r="164" spans="1:7" s="1" customFormat="1" x14ac:dyDescent="0.3">
      <c r="A164" s="7"/>
      <c r="B164" s="7"/>
      <c r="C164" s="7"/>
      <c r="D164" s="7"/>
      <c r="E164" s="7"/>
      <c r="F164" s="7"/>
      <c r="G164" s="7"/>
    </row>
    <row r="165" spans="1:7" s="1" customFormat="1" x14ac:dyDescent="0.3">
      <c r="A165" s="7"/>
      <c r="B165" s="7"/>
      <c r="C165" s="7"/>
      <c r="D165" s="7"/>
      <c r="E165" s="7"/>
      <c r="F165" s="7"/>
      <c r="G165" s="7"/>
    </row>
    <row r="166" spans="1:7" s="1" customFormat="1" x14ac:dyDescent="0.3">
      <c r="A166" s="7"/>
      <c r="B166" s="7"/>
      <c r="C166" s="7"/>
      <c r="D166" s="7"/>
      <c r="E166" s="7"/>
      <c r="F166" s="7"/>
      <c r="G166" s="7"/>
    </row>
    <row r="167" spans="1:7" s="1" customFormat="1" x14ac:dyDescent="0.3">
      <c r="A167" s="7"/>
      <c r="B167" s="7"/>
      <c r="C167" s="7"/>
      <c r="D167" s="7"/>
      <c r="E167" s="7"/>
      <c r="F167" s="7"/>
      <c r="G167" s="7"/>
    </row>
    <row r="168" spans="1:7" s="1" customFormat="1" x14ac:dyDescent="0.3">
      <c r="A168" s="7"/>
      <c r="B168" s="7"/>
      <c r="C168" s="7"/>
      <c r="D168" s="7"/>
      <c r="E168" s="7"/>
      <c r="F168" s="7"/>
      <c r="G168" s="7"/>
    </row>
    <row r="169" spans="1:7" s="1" customFormat="1" x14ac:dyDescent="0.3">
      <c r="A169" s="7"/>
      <c r="B169" s="7"/>
      <c r="C169" s="7"/>
      <c r="D169" s="7"/>
      <c r="E169" s="7"/>
      <c r="F169" s="7"/>
      <c r="G169" s="7"/>
    </row>
    <row r="170" spans="1:7" s="1" customFormat="1" x14ac:dyDescent="0.3">
      <c r="A170" s="7"/>
      <c r="B170" s="7"/>
      <c r="C170" s="7"/>
      <c r="D170" s="7"/>
      <c r="E170" s="7"/>
      <c r="F170" s="7"/>
      <c r="G170" s="7"/>
    </row>
    <row r="171" spans="1:7" s="1" customFormat="1" x14ac:dyDescent="0.3">
      <c r="A171" s="7"/>
      <c r="B171" s="7"/>
      <c r="C171" s="7"/>
      <c r="D171" s="7"/>
      <c r="E171" s="7"/>
      <c r="F171" s="7"/>
      <c r="G171" s="7"/>
    </row>
    <row r="172" spans="1:7" s="1" customFormat="1" x14ac:dyDescent="0.3">
      <c r="A172" s="7"/>
      <c r="B172" s="7"/>
      <c r="C172" s="7"/>
      <c r="D172" s="7"/>
      <c r="E172" s="7"/>
      <c r="F172" s="7"/>
      <c r="G172" s="7"/>
    </row>
    <row r="173" spans="1:7" s="1" customFormat="1" x14ac:dyDescent="0.3">
      <c r="A173" s="7"/>
      <c r="B173" s="7"/>
      <c r="C173" s="7"/>
      <c r="D173" s="7"/>
      <c r="E173" s="7"/>
      <c r="F173" s="7"/>
      <c r="G173" s="7"/>
    </row>
    <row r="174" spans="1:7" s="1" customFormat="1" x14ac:dyDescent="0.3">
      <c r="A174" s="7"/>
      <c r="B174" s="7"/>
      <c r="C174" s="7"/>
      <c r="D174" s="7"/>
      <c r="E174" s="7"/>
      <c r="F174" s="7"/>
      <c r="G174" s="7"/>
    </row>
    <row r="175" spans="1:7" s="1" customFormat="1" x14ac:dyDescent="0.3">
      <c r="A175" s="7"/>
      <c r="B175" s="7"/>
      <c r="C175" s="7"/>
      <c r="D175" s="7"/>
      <c r="E175" s="7"/>
      <c r="F175" s="7"/>
      <c r="G175" s="7"/>
    </row>
    <row r="176" spans="1:7" s="1" customFormat="1" x14ac:dyDescent="0.3">
      <c r="A176" s="7"/>
      <c r="B176" s="7"/>
      <c r="C176" s="7"/>
      <c r="D176" s="7"/>
      <c r="E176" s="7"/>
      <c r="F176" s="7"/>
      <c r="G176" s="7"/>
    </row>
    <row r="177" spans="1:7" s="1" customFormat="1" x14ac:dyDescent="0.3">
      <c r="A177" s="7"/>
      <c r="B177" s="7"/>
      <c r="C177" s="7"/>
      <c r="D177" s="7"/>
      <c r="E177" s="7"/>
      <c r="F177" s="7"/>
      <c r="G177" s="7"/>
    </row>
    <row r="178" spans="1:7" s="1" customFormat="1" x14ac:dyDescent="0.3">
      <c r="A178" s="7"/>
      <c r="B178" s="7"/>
      <c r="C178" s="7"/>
      <c r="D178" s="7"/>
      <c r="E178" s="7"/>
      <c r="F178" s="7"/>
      <c r="G178" s="7"/>
    </row>
    <row r="179" spans="1:7" s="1" customFormat="1" x14ac:dyDescent="0.3">
      <c r="A179" s="7"/>
      <c r="B179" s="7"/>
      <c r="C179" s="7"/>
      <c r="D179" s="7"/>
      <c r="E179" s="7"/>
      <c r="F179" s="7"/>
      <c r="G179" s="7"/>
    </row>
    <row r="180" spans="1:7" s="1" customFormat="1" x14ac:dyDescent="0.3">
      <c r="A180" s="7"/>
      <c r="B180" s="7"/>
      <c r="C180" s="7"/>
      <c r="D180" s="7"/>
      <c r="E180" s="7"/>
      <c r="F180" s="7"/>
      <c r="G180" s="7"/>
    </row>
    <row r="181" spans="1:7" s="1" customFormat="1" x14ac:dyDescent="0.3">
      <c r="A181" s="7"/>
      <c r="B181" s="7"/>
      <c r="C181" s="7"/>
      <c r="D181" s="7"/>
      <c r="E181" s="7"/>
      <c r="F181" s="7"/>
      <c r="G181" s="7"/>
    </row>
    <row r="182" spans="1:7" s="1" customFormat="1" x14ac:dyDescent="0.3">
      <c r="A182" s="7"/>
      <c r="B182" s="7"/>
      <c r="C182" s="7"/>
      <c r="D182" s="7"/>
      <c r="E182" s="7"/>
      <c r="F182" s="7"/>
      <c r="G182" s="7"/>
    </row>
    <row r="183" spans="1:7" s="1" customFormat="1" x14ac:dyDescent="0.3">
      <c r="A183" s="7"/>
      <c r="B183" s="7"/>
      <c r="C183" s="7"/>
      <c r="D183" s="7"/>
      <c r="E183" s="7"/>
      <c r="F183" s="7"/>
      <c r="G183" s="7"/>
    </row>
    <row r="184" spans="1:7" s="1" customFormat="1" x14ac:dyDescent="0.3">
      <c r="A184" s="7"/>
      <c r="B184" s="7"/>
      <c r="C184" s="7"/>
      <c r="D184" s="7"/>
      <c r="E184" s="7"/>
      <c r="F184" s="7"/>
      <c r="G184" s="7"/>
    </row>
    <row r="185" spans="1:7" s="1" customFormat="1" x14ac:dyDescent="0.3">
      <c r="A185" s="7"/>
      <c r="B185" s="7"/>
      <c r="C185" s="7"/>
      <c r="D185" s="7"/>
      <c r="E185" s="7"/>
      <c r="F185" s="7"/>
      <c r="G185" s="7"/>
    </row>
    <row r="186" spans="1:7" s="1" customFormat="1" x14ac:dyDescent="0.3">
      <c r="A186" s="7"/>
      <c r="B186" s="7"/>
      <c r="C186" s="7"/>
      <c r="D186" s="7"/>
      <c r="E186" s="7"/>
      <c r="F186" s="7"/>
      <c r="G186" s="7"/>
    </row>
    <row r="187" spans="1:7" s="1" customFormat="1" x14ac:dyDescent="0.3">
      <c r="A187" s="7"/>
      <c r="B187" s="7"/>
      <c r="C187" s="7"/>
      <c r="D187" s="7"/>
      <c r="E187" s="7"/>
      <c r="F187" s="7"/>
      <c r="G187" s="7"/>
    </row>
    <row r="188" spans="1:7" s="1" customFormat="1" x14ac:dyDescent="0.3">
      <c r="A188" s="7"/>
      <c r="B188" s="7"/>
      <c r="C188" s="7"/>
      <c r="D188" s="7"/>
      <c r="E188" s="7"/>
      <c r="F188" s="7"/>
      <c r="G188" s="7"/>
    </row>
    <row r="189" spans="1:7" s="1" customFormat="1" x14ac:dyDescent="0.3">
      <c r="A189" s="7"/>
      <c r="B189" s="7"/>
      <c r="C189" s="7"/>
      <c r="D189" s="7"/>
      <c r="E189" s="7"/>
      <c r="F189" s="7"/>
      <c r="G189" s="7"/>
    </row>
    <row r="190" spans="1:7" s="1" customFormat="1" x14ac:dyDescent="0.3">
      <c r="A190" s="7"/>
      <c r="B190" s="7"/>
      <c r="C190" s="7"/>
      <c r="D190" s="7"/>
      <c r="E190" s="7"/>
      <c r="F190" s="7"/>
      <c r="G190" s="7"/>
    </row>
    <row r="191" spans="1:7" s="1" customFormat="1" x14ac:dyDescent="0.3">
      <c r="A191" s="7"/>
      <c r="B191" s="7"/>
      <c r="C191" s="7"/>
      <c r="D191" s="7"/>
      <c r="E191" s="7"/>
      <c r="F191" s="7"/>
      <c r="G191" s="7"/>
    </row>
    <row r="192" spans="1:7" s="1" customFormat="1" x14ac:dyDescent="0.3">
      <c r="A192" s="7"/>
      <c r="B192" s="7"/>
      <c r="C192" s="7"/>
      <c r="D192" s="7"/>
      <c r="E192" s="7"/>
      <c r="F192" s="7"/>
      <c r="G192" s="7"/>
    </row>
  </sheetData>
  <mergeCells count="22">
    <mergeCell ref="A1:E1"/>
    <mergeCell ref="A2:E2"/>
    <mergeCell ref="A3:E3"/>
    <mergeCell ref="C10:E10"/>
    <mergeCell ref="A10:B10"/>
    <mergeCell ref="A7:B7"/>
    <mergeCell ref="C7:E7"/>
    <mergeCell ref="A6:B6"/>
    <mergeCell ref="C6:E6"/>
    <mergeCell ref="A8:B8"/>
    <mergeCell ref="C8:E8"/>
    <mergeCell ref="A9:B9"/>
    <mergeCell ref="C9:E9"/>
    <mergeCell ref="A4:E4"/>
    <mergeCell ref="A5:E5"/>
    <mergeCell ref="A11:B11"/>
    <mergeCell ref="C11:E11"/>
    <mergeCell ref="A13:E15"/>
    <mergeCell ref="A12:B12"/>
    <mergeCell ref="A20:E20"/>
    <mergeCell ref="C12:E12"/>
    <mergeCell ref="A16:E17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5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25" workbookViewId="0">
      <selection activeCell="D43" sqref="D43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140625" style="66" customWidth="1"/>
    <col min="7" max="7" width="14.42578125" style="66" customWidth="1"/>
    <col min="8" max="8" width="19.42578125" style="1" customWidth="1"/>
    <col min="9" max="9" width="45.710937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216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73"/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73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74"/>
      <c r="J8" s="77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74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74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74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74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74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74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74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74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74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74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74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74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74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15000</v>
      </c>
      <c r="E23" s="123"/>
      <c r="F23" s="124"/>
      <c r="G23" s="124"/>
      <c r="H23" s="125">
        <f>SUM(C23:G23)</f>
        <v>15000</v>
      </c>
      <c r="I23" s="74"/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/>
      <c r="E24" s="123"/>
      <c r="F24" s="124"/>
      <c r="G24" s="124"/>
      <c r="H24" s="125">
        <f t="shared" ref="H24:H62" si="1">SUM(C24:G24)</f>
        <v>0</v>
      </c>
      <c r="I24" s="74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23"/>
      <c r="E25" s="123"/>
      <c r="F25" s="124"/>
      <c r="G25" s="124"/>
      <c r="H25" s="125">
        <f t="shared" si="1"/>
        <v>0</v>
      </c>
      <c r="I25" s="74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74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74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>
        <v>6000</v>
      </c>
      <c r="E28" s="123"/>
      <c r="F28" s="124"/>
      <c r="G28" s="124"/>
      <c r="H28" s="125">
        <f t="shared" si="1"/>
        <v>6000</v>
      </c>
      <c r="I28" s="74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74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74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/>
      <c r="E31" s="123"/>
      <c r="F31" s="124"/>
      <c r="G31" s="124"/>
      <c r="H31" s="125">
        <f t="shared" si="1"/>
        <v>0</v>
      </c>
      <c r="I31" s="74"/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74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74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74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/>
      <c r="F35" s="124"/>
      <c r="G35" s="124"/>
      <c r="H35" s="125">
        <f t="shared" si="1"/>
        <v>0</v>
      </c>
      <c r="I35" s="74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/>
      <c r="E36" s="123"/>
      <c r="F36" s="124"/>
      <c r="G36" s="124"/>
      <c r="H36" s="125">
        <f t="shared" si="1"/>
        <v>0</v>
      </c>
      <c r="I36" s="74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/>
      <c r="G37" s="124"/>
      <c r="H37" s="125">
        <f t="shared" si="1"/>
        <v>0</v>
      </c>
      <c r="I37" s="74"/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/>
      <c r="G38" s="124"/>
      <c r="H38" s="125">
        <f>SUM(C38:G38)</f>
        <v>0</v>
      </c>
      <c r="I38" s="74"/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74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74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/>
      <c r="G41" s="124"/>
      <c r="H41" s="125">
        <f t="shared" si="1"/>
        <v>0</v>
      </c>
      <c r="I41" s="74"/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23"/>
      <c r="F42" s="131"/>
      <c r="G42" s="131"/>
      <c r="H42" s="125">
        <f t="shared" si="1"/>
        <v>0</v>
      </c>
      <c r="I42" s="74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/>
      <c r="E43" s="123"/>
      <c r="F43" s="131"/>
      <c r="G43" s="131"/>
      <c r="H43" s="125">
        <f t="shared" si="1"/>
        <v>0</v>
      </c>
      <c r="I43" s="74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74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/>
      <c r="E45" s="123"/>
      <c r="F45" s="124"/>
      <c r="G45" s="124"/>
      <c r="H45" s="125">
        <f t="shared" si="1"/>
        <v>0</v>
      </c>
      <c r="I45" s="74"/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23"/>
      <c r="F46" s="124"/>
      <c r="G46" s="124"/>
      <c r="H46" s="125">
        <f t="shared" si="1"/>
        <v>0</v>
      </c>
      <c r="I46" s="74"/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/>
      <c r="E47" s="123"/>
      <c r="F47" s="124"/>
      <c r="G47" s="124"/>
      <c r="H47" s="125">
        <f t="shared" si="1"/>
        <v>0</v>
      </c>
      <c r="I47" s="74"/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74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74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/>
      <c r="E50" s="123"/>
      <c r="F50" s="124"/>
      <c r="G50" s="124"/>
      <c r="H50" s="125">
        <f t="shared" si="1"/>
        <v>0</v>
      </c>
      <c r="I50" s="74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/>
      <c r="G51" s="124"/>
      <c r="H51" s="125">
        <f t="shared" si="1"/>
        <v>0</v>
      </c>
      <c r="I51" s="74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74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74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74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/>
      <c r="E55" s="123"/>
      <c r="F55" s="124"/>
      <c r="G55" s="124"/>
      <c r="H55" s="125">
        <f t="shared" si="1"/>
        <v>0</v>
      </c>
      <c r="I55" s="74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74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74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74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23"/>
      <c r="F59" s="124"/>
      <c r="G59" s="124"/>
      <c r="H59" s="125">
        <f>SUM(C59:G59)</f>
        <v>0</v>
      </c>
      <c r="I59" s="74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74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74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74"/>
      <c r="J62" s="77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21000</v>
      </c>
      <c r="E63" s="128">
        <f>SUM(E23:E62)</f>
        <v>0</v>
      </c>
      <c r="F63" s="128">
        <f t="shared" ref="F63:G63" si="2">SUM(F23:F62)</f>
        <v>0</v>
      </c>
      <c r="G63" s="128">
        <f t="shared" si="2"/>
        <v>0</v>
      </c>
      <c r="H63" s="128">
        <f>SUM(C63:G63)</f>
        <v>21000</v>
      </c>
      <c r="I63" s="74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25">
        <f>SUM(C65:G65)</f>
        <v>0</v>
      </c>
      <c r="I65" s="74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25">
        <f t="shared" ref="H66:H108" si="3">SUM(C66:G66)</f>
        <v>0</v>
      </c>
      <c r="I66" s="74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  <c r="I67" s="74"/>
      <c r="J67" s="77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/>
      <c r="G68" s="131"/>
      <c r="H68" s="125">
        <f t="shared" si="3"/>
        <v>0</v>
      </c>
      <c r="I68" s="74"/>
      <c r="J68" s="77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25">
        <f t="shared" si="3"/>
        <v>0</v>
      </c>
      <c r="I69" s="74"/>
      <c r="J69" s="77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25">
        <f t="shared" si="3"/>
        <v>0</v>
      </c>
      <c r="I70" s="74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23"/>
      <c r="F71" s="131"/>
      <c r="G71" s="131"/>
      <c r="H71" s="125">
        <f t="shared" si="3"/>
        <v>0</v>
      </c>
      <c r="I71" s="74"/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25">
        <f t="shared" si="3"/>
        <v>0</v>
      </c>
      <c r="I72" s="74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83">
        <f>250000-240533</f>
        <v>9467</v>
      </c>
      <c r="F73" s="131"/>
      <c r="G73" s="131"/>
      <c r="H73" s="125">
        <f t="shared" si="3"/>
        <v>9467</v>
      </c>
      <c r="I73" s="74" t="s">
        <v>229</v>
      </c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25">
        <f t="shared" si="3"/>
        <v>0</v>
      </c>
      <c r="I74" s="74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83">
        <f>133000-40467</f>
        <v>92533</v>
      </c>
      <c r="F75" s="131">
        <v>140000</v>
      </c>
      <c r="G75" s="131"/>
      <c r="H75" s="125">
        <f t="shared" si="3"/>
        <v>232533</v>
      </c>
      <c r="I75" s="74" t="s">
        <v>230</v>
      </c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25">
        <f t="shared" si="3"/>
        <v>0</v>
      </c>
      <c r="I76" s="74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>
        <v>30000</v>
      </c>
      <c r="G77" s="124"/>
      <c r="H77" s="125">
        <f t="shared" si="3"/>
        <v>30000</v>
      </c>
      <c r="I77" s="74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25">
        <f t="shared" si="3"/>
        <v>0</v>
      </c>
      <c r="I78" s="74"/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/>
      <c r="F79" s="124"/>
      <c r="G79" s="124"/>
      <c r="H79" s="125">
        <f t="shared" si="3"/>
        <v>0</v>
      </c>
      <c r="I79" s="74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25">
        <f t="shared" si="3"/>
        <v>0</v>
      </c>
      <c r="I80" s="74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25">
        <f t="shared" si="3"/>
        <v>0</v>
      </c>
      <c r="I81" s="74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25">
        <f t="shared" si="3"/>
        <v>0</v>
      </c>
      <c r="I82" s="74"/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25">
        <f t="shared" si="3"/>
        <v>0</v>
      </c>
      <c r="I83" s="74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/>
      <c r="G84" s="124">
        <v>150000</v>
      </c>
      <c r="H84" s="125">
        <f t="shared" si="3"/>
        <v>150000</v>
      </c>
      <c r="I84" s="74" t="s">
        <v>234</v>
      </c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25">
        <f t="shared" si="3"/>
        <v>0</v>
      </c>
      <c r="I85" s="74"/>
      <c r="J85" s="77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25">
        <f t="shared" si="3"/>
        <v>0</v>
      </c>
      <c r="I86" s="74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/>
      <c r="F87" s="124"/>
      <c r="G87" s="124"/>
      <c r="H87" s="125">
        <f t="shared" si="3"/>
        <v>0</v>
      </c>
      <c r="I87" s="74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25">
        <f t="shared" si="3"/>
        <v>0</v>
      </c>
      <c r="I88" s="74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25">
        <f t="shared" si="3"/>
        <v>0</v>
      </c>
      <c r="I89" s="74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25">
        <f t="shared" si="3"/>
        <v>0</v>
      </c>
      <c r="I90" s="74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/>
      <c r="F91" s="131"/>
      <c r="G91" s="131"/>
      <c r="H91" s="125">
        <f t="shared" si="3"/>
        <v>0</v>
      </c>
      <c r="I91" s="74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25">
        <f t="shared" si="3"/>
        <v>0</v>
      </c>
      <c r="I92" s="74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25">
        <f t="shared" si="3"/>
        <v>0</v>
      </c>
      <c r="I93" s="74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25">
        <f t="shared" si="3"/>
        <v>0</v>
      </c>
      <c r="I94" s="74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25">
        <f t="shared" si="3"/>
        <v>0</v>
      </c>
      <c r="I95" s="74"/>
      <c r="J95" s="77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25">
        <f t="shared" si="3"/>
        <v>0</v>
      </c>
      <c r="I96" s="74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/>
      <c r="G97" s="131"/>
      <c r="H97" s="125">
        <f t="shared" si="3"/>
        <v>0</v>
      </c>
      <c r="I97" s="74"/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  <c r="I98" s="74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23">
        <v>10000</v>
      </c>
      <c r="F99" s="124"/>
      <c r="G99" s="124"/>
      <c r="H99" s="125">
        <f t="shared" si="3"/>
        <v>10000</v>
      </c>
      <c r="I99" s="74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>
        <v>18000</v>
      </c>
      <c r="F100" s="124"/>
      <c r="G100" s="124"/>
      <c r="H100" s="125">
        <f t="shared" si="3"/>
        <v>18000</v>
      </c>
      <c r="I100" s="74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>
        <v>70000</v>
      </c>
      <c r="F101" s="124"/>
      <c r="G101" s="124"/>
      <c r="H101" s="125">
        <f t="shared" si="3"/>
        <v>70000</v>
      </c>
      <c r="I101" s="74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>
        <v>5000</v>
      </c>
      <c r="F102" s="124"/>
      <c r="G102" s="124"/>
      <c r="H102" s="125">
        <f t="shared" si="3"/>
        <v>5000</v>
      </c>
      <c r="I102" s="74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  <c r="I103" s="74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25">
        <f t="shared" si="3"/>
        <v>0</v>
      </c>
      <c r="I104" s="74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>
        <v>103000</v>
      </c>
      <c r="G105" s="124"/>
      <c r="H105" s="125">
        <f t="shared" si="3"/>
        <v>103000</v>
      </c>
      <c r="I105" s="74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25">
        <f t="shared" si="3"/>
        <v>0</v>
      </c>
      <c r="I106" s="74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/>
      <c r="F107" s="131"/>
      <c r="G107" s="131"/>
      <c r="H107" s="125">
        <f t="shared" si="3"/>
        <v>0</v>
      </c>
      <c r="I107" s="74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25">
        <f t="shared" si="3"/>
        <v>0</v>
      </c>
      <c r="I108" s="74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0</v>
      </c>
      <c r="D109" s="61">
        <f>SUM(D65:D108)</f>
        <v>0</v>
      </c>
      <c r="E109" s="61">
        <f>SUM(E65:E108)</f>
        <v>205000</v>
      </c>
      <c r="F109" s="65">
        <f>SUM(F65:F108)</f>
        <v>273000</v>
      </c>
      <c r="G109" s="65">
        <f>SUM(G65:G108)</f>
        <v>150000</v>
      </c>
      <c r="H109" s="65">
        <f>SUM(C109:G109)</f>
        <v>628000</v>
      </c>
      <c r="I109" s="74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12.75" x14ac:dyDescent="0.2">
      <c r="A111" s="80">
        <v>4246</v>
      </c>
      <c r="B111" s="81" t="s">
        <v>238</v>
      </c>
      <c r="C111" s="60"/>
      <c r="D111" s="60"/>
      <c r="E111" s="60"/>
      <c r="F111" s="64"/>
      <c r="G111" s="64"/>
      <c r="H111" s="18"/>
      <c r="I111" s="75"/>
      <c r="J111" s="77"/>
    </row>
    <row r="112" spans="1:10" s="14" customFormat="1" ht="25.5" x14ac:dyDescent="0.2">
      <c r="A112" s="80">
        <v>4156</v>
      </c>
      <c r="B112" s="81" t="s">
        <v>239</v>
      </c>
      <c r="C112" s="58"/>
      <c r="D112" s="58"/>
      <c r="E112" s="60"/>
      <c r="F112" s="64"/>
      <c r="G112" s="64"/>
      <c r="H112" s="18">
        <f>SUM(C112:F112)</f>
        <v>0</v>
      </c>
      <c r="I112" s="74"/>
      <c r="J112" s="77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SUM(D112)</f>
        <v>0</v>
      </c>
      <c r="E113" s="61">
        <f>SUM(E112)</f>
        <v>0</v>
      </c>
      <c r="F113" s="61">
        <f t="shared" ref="F113:H113" si="4">SUM(F112)</f>
        <v>0</v>
      </c>
      <c r="G113" s="61"/>
      <c r="H113" s="61">
        <f t="shared" si="4"/>
        <v>0</v>
      </c>
      <c r="I113" s="74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/>
      <c r="G115" s="124"/>
      <c r="H115" s="125">
        <f>SUM(C115:G115)</f>
        <v>0</v>
      </c>
      <c r="I115" s="74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74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74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74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74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74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/>
      <c r="G121" s="124"/>
      <c r="H121" s="125">
        <f t="shared" si="5"/>
        <v>0</v>
      </c>
      <c r="I121" s="74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74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74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74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74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74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74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74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74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74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0</v>
      </c>
      <c r="F131" s="129">
        <f>SUM(F115:F130)</f>
        <v>0</v>
      </c>
      <c r="G131" s="129">
        <f>SUM(G115:G130)</f>
        <v>0</v>
      </c>
      <c r="H131" s="130">
        <f>SUM(C131:G131)</f>
        <v>0</v>
      </c>
      <c r="I131" s="74"/>
      <c r="J131" s="77"/>
    </row>
    <row r="132" spans="1:10" s="23" customFormat="1" ht="24.75" customHeight="1" x14ac:dyDescent="0.2">
      <c r="A132" s="24"/>
      <c r="B132" s="21" t="s">
        <v>114</v>
      </c>
      <c r="C132" s="132">
        <f t="shared" ref="C132:H132" si="7">C131+C113+C109+C63+C21</f>
        <v>0</v>
      </c>
      <c r="D132" s="132">
        <f t="shared" si="7"/>
        <v>21000</v>
      </c>
      <c r="E132" s="132">
        <f t="shared" si="7"/>
        <v>205000</v>
      </c>
      <c r="F132" s="133">
        <f t="shared" si="7"/>
        <v>273000</v>
      </c>
      <c r="G132" s="133">
        <f t="shared" si="7"/>
        <v>150000</v>
      </c>
      <c r="H132" s="135">
        <f t="shared" si="7"/>
        <v>649000</v>
      </c>
      <c r="I132" s="7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2">
    <mergeCell ref="G5:G6"/>
    <mergeCell ref="H5:H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31" workbookViewId="0">
      <selection activeCell="D43" sqref="D43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140625" style="66" customWidth="1"/>
    <col min="7" max="7" width="14.42578125" style="66" customWidth="1"/>
    <col min="8" max="8" width="19.42578125" style="1" customWidth="1"/>
    <col min="9" max="9" width="40.2851562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218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73"/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73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74"/>
      <c r="J8" s="77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74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74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74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74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74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74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74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74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74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74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74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74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74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27000</v>
      </c>
      <c r="E23" s="123"/>
      <c r="F23" s="124"/>
      <c r="G23" s="124"/>
      <c r="H23" s="125">
        <f>SUM(C23:G23)</f>
        <v>27000</v>
      </c>
      <c r="I23" s="74"/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/>
      <c r="E24" s="123"/>
      <c r="F24" s="124"/>
      <c r="G24" s="124"/>
      <c r="H24" s="125">
        <f t="shared" ref="H24:H62" si="1">SUM(C24:G24)</f>
        <v>0</v>
      </c>
      <c r="I24" s="74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23"/>
      <c r="E25" s="123"/>
      <c r="F25" s="124"/>
      <c r="G25" s="124"/>
      <c r="H25" s="125">
        <f t="shared" si="1"/>
        <v>0</v>
      </c>
      <c r="I25" s="74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74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74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/>
      <c r="E28" s="123"/>
      <c r="F28" s="124"/>
      <c r="G28" s="124"/>
      <c r="H28" s="125">
        <f t="shared" si="1"/>
        <v>0</v>
      </c>
      <c r="I28" s="74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74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74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/>
      <c r="E31" s="123"/>
      <c r="F31" s="124"/>
      <c r="G31" s="124"/>
      <c r="H31" s="125">
        <f t="shared" si="1"/>
        <v>0</v>
      </c>
      <c r="I31" s="74"/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74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74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74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/>
      <c r="F35" s="124"/>
      <c r="G35" s="124"/>
      <c r="H35" s="125">
        <f t="shared" si="1"/>
        <v>0</v>
      </c>
      <c r="I35" s="74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/>
      <c r="E36" s="123"/>
      <c r="F36" s="124"/>
      <c r="G36" s="124"/>
      <c r="H36" s="125">
        <f t="shared" si="1"/>
        <v>0</v>
      </c>
      <c r="I36" s="74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/>
      <c r="G37" s="124"/>
      <c r="H37" s="125">
        <f t="shared" si="1"/>
        <v>0</v>
      </c>
      <c r="I37" s="74"/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/>
      <c r="G38" s="124"/>
      <c r="H38" s="125">
        <f>SUM(C38:G38)</f>
        <v>0</v>
      </c>
      <c r="I38" s="74"/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74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74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/>
      <c r="G41" s="124"/>
      <c r="H41" s="125">
        <f t="shared" si="1"/>
        <v>0</v>
      </c>
      <c r="I41" s="74"/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23"/>
      <c r="F42" s="131"/>
      <c r="G42" s="131"/>
      <c r="H42" s="125">
        <f t="shared" si="1"/>
        <v>0</v>
      </c>
      <c r="I42" s="74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/>
      <c r="E43" s="123"/>
      <c r="F43" s="131"/>
      <c r="G43" s="131"/>
      <c r="H43" s="125">
        <f t="shared" si="1"/>
        <v>0</v>
      </c>
      <c r="I43" s="74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74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/>
      <c r="E45" s="123"/>
      <c r="F45" s="124"/>
      <c r="G45" s="124"/>
      <c r="H45" s="125">
        <f t="shared" si="1"/>
        <v>0</v>
      </c>
      <c r="I45" s="74"/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23"/>
      <c r="F46" s="124"/>
      <c r="G46" s="124"/>
      <c r="H46" s="125">
        <f t="shared" si="1"/>
        <v>0</v>
      </c>
      <c r="I46" s="74"/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/>
      <c r="E47" s="123"/>
      <c r="F47" s="124"/>
      <c r="G47" s="124"/>
      <c r="H47" s="125">
        <f t="shared" si="1"/>
        <v>0</v>
      </c>
      <c r="I47" s="74"/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74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74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/>
      <c r="E50" s="123"/>
      <c r="F50" s="124"/>
      <c r="G50" s="124"/>
      <c r="H50" s="125">
        <f t="shared" si="1"/>
        <v>0</v>
      </c>
      <c r="I50" s="74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/>
      <c r="G51" s="124"/>
      <c r="H51" s="125">
        <f t="shared" si="1"/>
        <v>0</v>
      </c>
      <c r="I51" s="74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74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74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74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/>
      <c r="E55" s="123"/>
      <c r="F55" s="124"/>
      <c r="G55" s="124"/>
      <c r="H55" s="125">
        <f t="shared" si="1"/>
        <v>0</v>
      </c>
      <c r="I55" s="74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74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74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74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23"/>
      <c r="F59" s="124"/>
      <c r="G59" s="124"/>
      <c r="H59" s="125">
        <f>SUM(C59:G59)</f>
        <v>0</v>
      </c>
      <c r="I59" s="74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74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74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74"/>
      <c r="J62" s="77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27000</v>
      </c>
      <c r="E63" s="128">
        <f>SUM(E23:E62)</f>
        <v>0</v>
      </c>
      <c r="F63" s="128">
        <f t="shared" ref="F63:G63" si="2">SUM(F23:F62)</f>
        <v>0</v>
      </c>
      <c r="G63" s="128">
        <f t="shared" si="2"/>
        <v>0</v>
      </c>
      <c r="H63" s="128">
        <f>SUM(C63:G63)</f>
        <v>27000</v>
      </c>
      <c r="I63" s="74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25">
        <f>SUM(C65:G65)</f>
        <v>0</v>
      </c>
      <c r="I65" s="74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25">
        <f t="shared" ref="H66:H108" si="3">SUM(C66:G66)</f>
        <v>0</v>
      </c>
      <c r="I66" s="74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  <c r="I67" s="74"/>
      <c r="J67" s="77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/>
      <c r="G68" s="131"/>
      <c r="H68" s="125">
        <f t="shared" si="3"/>
        <v>0</v>
      </c>
      <c r="I68" s="74"/>
      <c r="J68" s="77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25">
        <f t="shared" si="3"/>
        <v>0</v>
      </c>
      <c r="I69" s="74"/>
      <c r="J69" s="77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25">
        <f t="shared" si="3"/>
        <v>0</v>
      </c>
      <c r="I70" s="74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23"/>
      <c r="F71" s="131"/>
      <c r="G71" s="131"/>
      <c r="H71" s="125">
        <f t="shared" si="3"/>
        <v>0</v>
      </c>
      <c r="I71" s="74"/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25">
        <f t="shared" si="3"/>
        <v>0</v>
      </c>
      <c r="I72" s="74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/>
      <c r="F73" s="131"/>
      <c r="G73" s="131"/>
      <c r="H73" s="125">
        <f t="shared" si="3"/>
        <v>0</v>
      </c>
      <c r="I73" s="74"/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25">
        <f t="shared" si="3"/>
        <v>0</v>
      </c>
      <c r="I74" s="74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23"/>
      <c r="F75" s="131"/>
      <c r="G75" s="131"/>
      <c r="H75" s="125">
        <f t="shared" si="3"/>
        <v>0</v>
      </c>
      <c r="I75" s="74"/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25">
        <f t="shared" si="3"/>
        <v>0</v>
      </c>
      <c r="I76" s="74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/>
      <c r="G77" s="124"/>
      <c r="H77" s="125">
        <f t="shared" si="3"/>
        <v>0</v>
      </c>
      <c r="I77" s="74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25">
        <f t="shared" si="3"/>
        <v>0</v>
      </c>
      <c r="I78" s="74"/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>
        <v>45000</v>
      </c>
      <c r="F79" s="124"/>
      <c r="G79" s="124"/>
      <c r="H79" s="125">
        <f t="shared" si="3"/>
        <v>45000</v>
      </c>
      <c r="I79" s="74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25">
        <f t="shared" si="3"/>
        <v>0</v>
      </c>
      <c r="I80" s="74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25">
        <f t="shared" si="3"/>
        <v>0</v>
      </c>
      <c r="I81" s="74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25">
        <f t="shared" si="3"/>
        <v>0</v>
      </c>
      <c r="I82" s="74"/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25">
        <f t="shared" si="3"/>
        <v>0</v>
      </c>
      <c r="I83" s="74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/>
      <c r="G84" s="124"/>
      <c r="H84" s="125">
        <f t="shared" si="3"/>
        <v>0</v>
      </c>
      <c r="I84" s="74"/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25">
        <f t="shared" si="3"/>
        <v>0</v>
      </c>
      <c r="I85" s="74"/>
      <c r="J85" s="77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25">
        <f t="shared" si="3"/>
        <v>0</v>
      </c>
      <c r="I86" s="74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/>
      <c r="F87" s="124"/>
      <c r="G87" s="124"/>
      <c r="H87" s="125">
        <f t="shared" si="3"/>
        <v>0</v>
      </c>
      <c r="I87" s="74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25">
        <f t="shared" si="3"/>
        <v>0</v>
      </c>
      <c r="I88" s="74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25">
        <f t="shared" si="3"/>
        <v>0</v>
      </c>
      <c r="I89" s="74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25">
        <f t="shared" si="3"/>
        <v>0</v>
      </c>
      <c r="I90" s="74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/>
      <c r="F91" s="131"/>
      <c r="G91" s="131"/>
      <c r="H91" s="125">
        <f t="shared" si="3"/>
        <v>0</v>
      </c>
      <c r="I91" s="74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25">
        <f t="shared" si="3"/>
        <v>0</v>
      </c>
      <c r="I92" s="74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25">
        <f t="shared" si="3"/>
        <v>0</v>
      </c>
      <c r="I93" s="74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25">
        <f t="shared" si="3"/>
        <v>0</v>
      </c>
      <c r="I94" s="74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25">
        <f t="shared" si="3"/>
        <v>0</v>
      </c>
      <c r="I95" s="74"/>
      <c r="J95" s="77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25">
        <f t="shared" si="3"/>
        <v>0</v>
      </c>
      <c r="I96" s="74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/>
      <c r="G97" s="131"/>
      <c r="H97" s="125">
        <f t="shared" si="3"/>
        <v>0</v>
      </c>
      <c r="I97" s="74"/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  <c r="I98" s="74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23"/>
      <c r="F99" s="124"/>
      <c r="G99" s="124"/>
      <c r="H99" s="125">
        <f t="shared" si="3"/>
        <v>0</v>
      </c>
      <c r="I99" s="74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>
        <v>5000</v>
      </c>
      <c r="F100" s="124"/>
      <c r="G100" s="124"/>
      <c r="H100" s="125">
        <f t="shared" si="3"/>
        <v>5000</v>
      </c>
      <c r="I100" s="74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>
        <v>20000</v>
      </c>
      <c r="F101" s="124"/>
      <c r="G101" s="124"/>
      <c r="H101" s="125">
        <f t="shared" si="3"/>
        <v>20000</v>
      </c>
      <c r="I101" s="74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/>
      <c r="F102" s="124"/>
      <c r="G102" s="124"/>
      <c r="H102" s="125">
        <f t="shared" si="3"/>
        <v>0</v>
      </c>
      <c r="I102" s="74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  <c r="I103" s="74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25">
        <f t="shared" si="3"/>
        <v>0</v>
      </c>
      <c r="I104" s="74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25">
        <f t="shared" si="3"/>
        <v>0</v>
      </c>
      <c r="I105" s="74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25">
        <f t="shared" si="3"/>
        <v>0</v>
      </c>
      <c r="I106" s="74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73">
        <f>43800+45000</f>
        <v>88800</v>
      </c>
      <c r="F107" s="131"/>
      <c r="G107" s="131"/>
      <c r="H107" s="125">
        <f t="shared" si="3"/>
        <v>88800</v>
      </c>
      <c r="I107" s="74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25">
        <f t="shared" si="3"/>
        <v>0</v>
      </c>
      <c r="I108" s="74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0</v>
      </c>
      <c r="D109" s="61">
        <f>SUM(D65:D108)</f>
        <v>0</v>
      </c>
      <c r="E109" s="61">
        <f>SUM(E65:E108)</f>
        <v>158800</v>
      </c>
      <c r="F109" s="65">
        <f>SUM(F65:F108)</f>
        <v>0</v>
      </c>
      <c r="G109" s="65">
        <f>SUM(G65:G108)</f>
        <v>0</v>
      </c>
      <c r="H109" s="65">
        <f>SUM(C109:G109)</f>
        <v>158800</v>
      </c>
      <c r="I109" s="74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12.75" x14ac:dyDescent="0.2">
      <c r="A111" s="80">
        <v>4246</v>
      </c>
      <c r="B111" s="81" t="s">
        <v>238</v>
      </c>
      <c r="C111" s="60"/>
      <c r="D111" s="60"/>
      <c r="E111" s="60"/>
      <c r="F111" s="64"/>
      <c r="G111" s="64"/>
      <c r="H111" s="18"/>
      <c r="I111" s="75"/>
      <c r="J111" s="77"/>
    </row>
    <row r="112" spans="1:10" s="14" customFormat="1" ht="25.5" x14ac:dyDescent="0.2">
      <c r="A112" s="80">
        <v>4156</v>
      </c>
      <c r="B112" s="81" t="s">
        <v>239</v>
      </c>
      <c r="C112" s="58"/>
      <c r="D112" s="58"/>
      <c r="E112" s="60"/>
      <c r="F112" s="64"/>
      <c r="G112" s="64"/>
      <c r="H112" s="18">
        <f>SUM(C112:F112)</f>
        <v>0</v>
      </c>
      <c r="I112" s="74"/>
      <c r="J112" s="77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SUM(D112)</f>
        <v>0</v>
      </c>
      <c r="E113" s="61">
        <f>SUM(E112)</f>
        <v>0</v>
      </c>
      <c r="F113" s="61">
        <f t="shared" ref="F113:H113" si="4">SUM(F112)</f>
        <v>0</v>
      </c>
      <c r="G113" s="61"/>
      <c r="H113" s="61">
        <f t="shared" si="4"/>
        <v>0</v>
      </c>
      <c r="I113" s="74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/>
      <c r="G115" s="124"/>
      <c r="H115" s="125">
        <f>SUM(C115:G115)</f>
        <v>0</v>
      </c>
      <c r="I115" s="74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74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74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74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74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74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/>
      <c r="G121" s="124"/>
      <c r="H121" s="125">
        <f t="shared" si="5"/>
        <v>0</v>
      </c>
      <c r="I121" s="74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74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74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74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74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74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74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74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74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74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0</v>
      </c>
      <c r="F131" s="129">
        <f>SUM(F115:F130)</f>
        <v>0</v>
      </c>
      <c r="G131" s="129">
        <f>SUM(G115:G130)</f>
        <v>0</v>
      </c>
      <c r="H131" s="130">
        <f>SUM(C131:G131)</f>
        <v>0</v>
      </c>
      <c r="I131" s="74"/>
      <c r="J131" s="77"/>
    </row>
    <row r="132" spans="1:10" s="23" customFormat="1" ht="24.75" customHeight="1" x14ac:dyDescent="0.2">
      <c r="A132" s="24"/>
      <c r="B132" s="21" t="s">
        <v>114</v>
      </c>
      <c r="C132" s="132">
        <f t="shared" ref="C132:H132" si="7">C131+C113+C109+C63+C21</f>
        <v>0</v>
      </c>
      <c r="D132" s="132">
        <f t="shared" si="7"/>
        <v>27000</v>
      </c>
      <c r="E132" s="132">
        <f t="shared" si="7"/>
        <v>158800</v>
      </c>
      <c r="F132" s="133">
        <f t="shared" si="7"/>
        <v>0</v>
      </c>
      <c r="G132" s="133">
        <f t="shared" si="7"/>
        <v>0</v>
      </c>
      <c r="H132" s="135">
        <f t="shared" si="7"/>
        <v>185800</v>
      </c>
      <c r="I132" s="7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2">
    <mergeCell ref="G5:G6"/>
    <mergeCell ref="H5:H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19" workbookViewId="0">
      <selection activeCell="E43" sqref="E43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140625" style="66" customWidth="1"/>
    <col min="7" max="7" width="14.42578125" style="66" customWidth="1"/>
    <col min="8" max="8" width="19.42578125" style="1" customWidth="1"/>
    <col min="9" max="9" width="40.2851562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219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73"/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73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74"/>
      <c r="J8" s="77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74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74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74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74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74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74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74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74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74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74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74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74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74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5000</v>
      </c>
      <c r="E23" s="123"/>
      <c r="F23" s="124"/>
      <c r="G23" s="124"/>
      <c r="H23" s="125">
        <f>SUM(C23:G23)</f>
        <v>5000</v>
      </c>
      <c r="I23" s="74"/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/>
      <c r="E24" s="123"/>
      <c r="F24" s="124"/>
      <c r="G24" s="124"/>
      <c r="H24" s="125">
        <f t="shared" ref="H24:H62" si="1">SUM(C24:G24)</f>
        <v>0</v>
      </c>
      <c r="I24" s="74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23">
        <v>30000</v>
      </c>
      <c r="E25" s="123"/>
      <c r="F25" s="124"/>
      <c r="G25" s="124"/>
      <c r="H25" s="125">
        <f t="shared" si="1"/>
        <v>30000</v>
      </c>
      <c r="I25" s="74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74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74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>
        <v>30000</v>
      </c>
      <c r="E28" s="123"/>
      <c r="F28" s="124"/>
      <c r="G28" s="124"/>
      <c r="H28" s="125">
        <f t="shared" si="1"/>
        <v>30000</v>
      </c>
      <c r="I28" s="74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74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74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/>
      <c r="E31" s="123"/>
      <c r="F31" s="124"/>
      <c r="G31" s="124"/>
      <c r="H31" s="125">
        <f t="shared" si="1"/>
        <v>0</v>
      </c>
      <c r="I31" s="74"/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74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74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74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/>
      <c r="F35" s="124"/>
      <c r="G35" s="124"/>
      <c r="H35" s="125">
        <f t="shared" si="1"/>
        <v>0</v>
      </c>
      <c r="I35" s="74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/>
      <c r="E36" s="123"/>
      <c r="F36" s="124"/>
      <c r="G36" s="124"/>
      <c r="H36" s="125">
        <f t="shared" si="1"/>
        <v>0</v>
      </c>
      <c r="I36" s="74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/>
      <c r="G37" s="124"/>
      <c r="H37" s="125">
        <f t="shared" si="1"/>
        <v>0</v>
      </c>
      <c r="I37" s="74"/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/>
      <c r="G38" s="124"/>
      <c r="H38" s="125">
        <f>SUM(C38:G38)</f>
        <v>0</v>
      </c>
      <c r="I38" s="74"/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74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74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/>
      <c r="G41" s="124"/>
      <c r="H41" s="125">
        <f t="shared" si="1"/>
        <v>0</v>
      </c>
      <c r="I41" s="74"/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23"/>
      <c r="F42" s="131"/>
      <c r="G42" s="131"/>
      <c r="H42" s="125">
        <f t="shared" si="1"/>
        <v>0</v>
      </c>
      <c r="I42" s="74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>
        <v>3000</v>
      </c>
      <c r="E43" s="188">
        <v>2000</v>
      </c>
      <c r="F43" s="131"/>
      <c r="G43" s="131"/>
      <c r="H43" s="125">
        <f t="shared" si="1"/>
        <v>5000</v>
      </c>
      <c r="I43" s="74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74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/>
      <c r="E45" s="123"/>
      <c r="F45" s="124"/>
      <c r="G45" s="124"/>
      <c r="H45" s="125">
        <f t="shared" si="1"/>
        <v>0</v>
      </c>
      <c r="I45" s="74"/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23"/>
      <c r="F46" s="124"/>
      <c r="G46" s="124"/>
      <c r="H46" s="125">
        <f t="shared" si="1"/>
        <v>0</v>
      </c>
      <c r="I46" s="74"/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/>
      <c r="E47" s="123"/>
      <c r="F47" s="124"/>
      <c r="G47" s="124"/>
      <c r="H47" s="125">
        <f t="shared" si="1"/>
        <v>0</v>
      </c>
      <c r="I47" s="74"/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74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74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>
        <v>40000</v>
      </c>
      <c r="E50" s="123"/>
      <c r="F50" s="124"/>
      <c r="G50" s="124"/>
      <c r="H50" s="125">
        <f t="shared" si="1"/>
        <v>40000</v>
      </c>
      <c r="I50" s="74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/>
      <c r="G51" s="124"/>
      <c r="H51" s="125">
        <f t="shared" si="1"/>
        <v>0</v>
      </c>
      <c r="I51" s="74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>
        <v>25000</v>
      </c>
      <c r="E52" s="123"/>
      <c r="F52" s="124"/>
      <c r="G52" s="124"/>
      <c r="H52" s="125">
        <f t="shared" si="1"/>
        <v>25000</v>
      </c>
      <c r="I52" s="74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74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74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/>
      <c r="E55" s="123"/>
      <c r="F55" s="124"/>
      <c r="G55" s="124"/>
      <c r="H55" s="125">
        <f t="shared" si="1"/>
        <v>0</v>
      </c>
      <c r="I55" s="74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74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74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74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23"/>
      <c r="F59" s="124"/>
      <c r="G59" s="124"/>
      <c r="H59" s="125">
        <f>SUM(C59:G59)</f>
        <v>0</v>
      </c>
      <c r="I59" s="74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74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74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74"/>
      <c r="J62" s="77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133000</v>
      </c>
      <c r="E63" s="128">
        <f>SUM(E23:E62)</f>
        <v>2000</v>
      </c>
      <c r="F63" s="128">
        <f t="shared" ref="F63:G63" si="2">SUM(F23:F62)</f>
        <v>0</v>
      </c>
      <c r="G63" s="128">
        <f t="shared" si="2"/>
        <v>0</v>
      </c>
      <c r="H63" s="128">
        <f>SUM(C63:G63)</f>
        <v>135000</v>
      </c>
      <c r="I63" s="74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25">
        <f>SUM(C65:G65)</f>
        <v>0</v>
      </c>
      <c r="I65" s="74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25">
        <f t="shared" ref="H66:H108" si="3">SUM(C66:G66)</f>
        <v>0</v>
      </c>
      <c r="I66" s="74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  <c r="I67" s="74"/>
      <c r="J67" s="77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/>
      <c r="G68" s="131"/>
      <c r="H68" s="125">
        <f t="shared" si="3"/>
        <v>0</v>
      </c>
      <c r="I68" s="74"/>
      <c r="J68" s="77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25">
        <f t="shared" si="3"/>
        <v>0</v>
      </c>
      <c r="I69" s="74"/>
      <c r="J69" s="77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25">
        <f t="shared" si="3"/>
        <v>0</v>
      </c>
      <c r="I70" s="74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23"/>
      <c r="F71" s="131"/>
      <c r="G71" s="131"/>
      <c r="H71" s="125">
        <f t="shared" si="3"/>
        <v>0</v>
      </c>
      <c r="I71" s="74"/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83">
        <f>80000-15000</f>
        <v>65000</v>
      </c>
      <c r="E72" s="123"/>
      <c r="F72" s="131"/>
      <c r="G72" s="131"/>
      <c r="H72" s="125">
        <f t="shared" si="3"/>
        <v>65000</v>
      </c>
      <c r="I72" s="74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/>
      <c r="F73" s="131"/>
      <c r="G73" s="131"/>
      <c r="H73" s="125">
        <f t="shared" si="3"/>
        <v>0</v>
      </c>
      <c r="I73" s="74"/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25">
        <f t="shared" si="3"/>
        <v>0</v>
      </c>
      <c r="I74" s="74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23"/>
      <c r="F75" s="131"/>
      <c r="G75" s="131"/>
      <c r="H75" s="125">
        <f t="shared" si="3"/>
        <v>0</v>
      </c>
      <c r="I75" s="74"/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25">
        <f t="shared" si="3"/>
        <v>0</v>
      </c>
      <c r="I76" s="74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/>
      <c r="G77" s="124"/>
      <c r="H77" s="125">
        <f t="shared" si="3"/>
        <v>0</v>
      </c>
      <c r="I77" s="74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25">
        <f t="shared" si="3"/>
        <v>0</v>
      </c>
      <c r="I78" s="74"/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/>
      <c r="F79" s="124"/>
      <c r="G79" s="124"/>
      <c r="H79" s="125">
        <f t="shared" si="3"/>
        <v>0</v>
      </c>
      <c r="I79" s="74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>
        <v>13618</v>
      </c>
      <c r="G80" s="124"/>
      <c r="H80" s="125">
        <f t="shared" si="3"/>
        <v>13618</v>
      </c>
      <c r="I80" s="74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25">
        <f t="shared" si="3"/>
        <v>0</v>
      </c>
      <c r="I81" s="74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25">
        <f t="shared" si="3"/>
        <v>0</v>
      </c>
      <c r="I82" s="74"/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25">
        <f t="shared" si="3"/>
        <v>0</v>
      </c>
      <c r="I83" s="74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>
        <v>153000</v>
      </c>
      <c r="G84" s="124"/>
      <c r="H84" s="125">
        <f t="shared" si="3"/>
        <v>153000</v>
      </c>
      <c r="I84" s="74"/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25">
        <f t="shared" si="3"/>
        <v>0</v>
      </c>
      <c r="I85" s="74"/>
      <c r="J85" s="77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25">
        <f t="shared" si="3"/>
        <v>0</v>
      </c>
      <c r="I86" s="74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/>
      <c r="F87" s="124"/>
      <c r="G87" s="124"/>
      <c r="H87" s="125">
        <f t="shared" si="3"/>
        <v>0</v>
      </c>
      <c r="I87" s="74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25">
        <f t="shared" si="3"/>
        <v>0</v>
      </c>
      <c r="I88" s="74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25">
        <f t="shared" si="3"/>
        <v>0</v>
      </c>
      <c r="I89" s="74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25">
        <f t="shared" si="3"/>
        <v>0</v>
      </c>
      <c r="I90" s="74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/>
      <c r="F91" s="131"/>
      <c r="G91" s="131"/>
      <c r="H91" s="125">
        <f t="shared" si="3"/>
        <v>0</v>
      </c>
      <c r="I91" s="74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25">
        <f t="shared" si="3"/>
        <v>0</v>
      </c>
      <c r="I92" s="74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25">
        <f t="shared" si="3"/>
        <v>0</v>
      </c>
      <c r="I93" s="74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25">
        <f t="shared" si="3"/>
        <v>0</v>
      </c>
      <c r="I94" s="74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25">
        <f t="shared" si="3"/>
        <v>0</v>
      </c>
      <c r="I95" s="74"/>
      <c r="J95" s="77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25">
        <f t="shared" si="3"/>
        <v>0</v>
      </c>
      <c r="I96" s="74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>
        <v>70000</v>
      </c>
      <c r="G97" s="131"/>
      <c r="H97" s="125">
        <f t="shared" si="3"/>
        <v>70000</v>
      </c>
      <c r="I97" s="74"/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  <c r="I98" s="74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23"/>
      <c r="F99" s="124"/>
      <c r="G99" s="124"/>
      <c r="H99" s="125">
        <f t="shared" si="3"/>
        <v>0</v>
      </c>
      <c r="I99" s="74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/>
      <c r="F100" s="124"/>
      <c r="G100" s="124"/>
      <c r="H100" s="125">
        <f t="shared" si="3"/>
        <v>0</v>
      </c>
      <c r="I100" s="74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>
        <v>20000</v>
      </c>
      <c r="F101" s="124"/>
      <c r="G101" s="124"/>
      <c r="H101" s="125">
        <f t="shared" si="3"/>
        <v>20000</v>
      </c>
      <c r="I101" s="74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/>
      <c r="F102" s="124"/>
      <c r="G102" s="124"/>
      <c r="H102" s="125">
        <f t="shared" si="3"/>
        <v>0</v>
      </c>
      <c r="I102" s="74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  <c r="I103" s="74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73">
        <v>10000</v>
      </c>
      <c r="F104" s="124"/>
      <c r="G104" s="124"/>
      <c r="H104" s="125">
        <f t="shared" si="3"/>
        <v>10000</v>
      </c>
      <c r="I104" s="74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25">
        <f t="shared" si="3"/>
        <v>0</v>
      </c>
      <c r="I105" s="74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>
        <v>260000</v>
      </c>
      <c r="G106" s="124"/>
      <c r="H106" s="125">
        <f t="shared" si="3"/>
        <v>260000</v>
      </c>
      <c r="I106" s="74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/>
      <c r="F107" s="131"/>
      <c r="G107" s="131"/>
      <c r="H107" s="125">
        <f t="shared" si="3"/>
        <v>0</v>
      </c>
      <c r="I107" s="74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25">
        <f t="shared" si="3"/>
        <v>0</v>
      </c>
      <c r="I108" s="74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0</v>
      </c>
      <c r="D109" s="61">
        <f>SUM(D65:D108)</f>
        <v>65000</v>
      </c>
      <c r="E109" s="61">
        <f>SUM(E65:E108)</f>
        <v>30000</v>
      </c>
      <c r="F109" s="65">
        <f>SUM(F65:F108)</f>
        <v>496618</v>
      </c>
      <c r="G109" s="65">
        <f>SUM(G65:G108)</f>
        <v>0</v>
      </c>
      <c r="H109" s="65">
        <f>SUM(C109:G109)</f>
        <v>591618</v>
      </c>
      <c r="I109" s="74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12.75" x14ac:dyDescent="0.2">
      <c r="A111" s="80">
        <v>4246</v>
      </c>
      <c r="B111" s="81" t="s">
        <v>238</v>
      </c>
      <c r="C111" s="60"/>
      <c r="D111" s="60"/>
      <c r="E111" s="60"/>
      <c r="F111" s="64"/>
      <c r="G111" s="64"/>
      <c r="H111" s="18"/>
      <c r="I111" s="75"/>
      <c r="J111" s="77"/>
    </row>
    <row r="112" spans="1:10" s="14" customFormat="1" ht="25.5" x14ac:dyDescent="0.2">
      <c r="A112" s="80">
        <v>4156</v>
      </c>
      <c r="B112" s="81" t="s">
        <v>239</v>
      </c>
      <c r="C112" s="58"/>
      <c r="D112" s="58"/>
      <c r="E112" s="60"/>
      <c r="F112" s="64"/>
      <c r="G112" s="64"/>
      <c r="H112" s="18">
        <f>SUM(C112:F112)</f>
        <v>0</v>
      </c>
      <c r="I112" s="74"/>
      <c r="J112" s="77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SUM(D112)</f>
        <v>0</v>
      </c>
      <c r="E113" s="61">
        <f>SUM(E112)</f>
        <v>0</v>
      </c>
      <c r="F113" s="61">
        <f t="shared" ref="F113:H113" si="4">SUM(F112)</f>
        <v>0</v>
      </c>
      <c r="G113" s="61"/>
      <c r="H113" s="61">
        <f t="shared" si="4"/>
        <v>0</v>
      </c>
      <c r="I113" s="74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/>
      <c r="G115" s="124"/>
      <c r="H115" s="125">
        <f>SUM(C115:G115)</f>
        <v>0</v>
      </c>
      <c r="I115" s="74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74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74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74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>
        <v>15000</v>
      </c>
      <c r="G119" s="124"/>
      <c r="H119" s="125">
        <f t="shared" si="5"/>
        <v>15000</v>
      </c>
      <c r="I119" s="74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74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/>
      <c r="G121" s="124"/>
      <c r="H121" s="125">
        <f t="shared" si="5"/>
        <v>0</v>
      </c>
      <c r="I121" s="74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74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74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74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74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74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74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74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74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74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0</v>
      </c>
      <c r="F131" s="129">
        <f>SUM(F115:F130)</f>
        <v>15000</v>
      </c>
      <c r="G131" s="129">
        <f>SUM(G115:G130)</f>
        <v>0</v>
      </c>
      <c r="H131" s="130">
        <f>SUM(C131:G131)</f>
        <v>15000</v>
      </c>
      <c r="I131" s="74"/>
      <c r="J131" s="77"/>
    </row>
    <row r="132" spans="1:10" s="23" customFormat="1" ht="24.75" customHeight="1" x14ac:dyDescent="0.2">
      <c r="A132" s="24"/>
      <c r="B132" s="21" t="s">
        <v>114</v>
      </c>
      <c r="C132" s="132">
        <f t="shared" ref="C132:H132" si="7">C131+C113+C109+C63+C21</f>
        <v>0</v>
      </c>
      <c r="D132" s="132">
        <f t="shared" si="7"/>
        <v>198000</v>
      </c>
      <c r="E132" s="132">
        <f t="shared" si="7"/>
        <v>32000</v>
      </c>
      <c r="F132" s="133">
        <f t="shared" si="7"/>
        <v>511618</v>
      </c>
      <c r="G132" s="133">
        <f t="shared" si="7"/>
        <v>0</v>
      </c>
      <c r="H132" s="135">
        <f t="shared" si="7"/>
        <v>741618</v>
      </c>
      <c r="I132" s="7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2">
    <mergeCell ref="G5:G6"/>
    <mergeCell ref="H5:H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34" workbookViewId="0">
      <selection activeCell="E42" sqref="E42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140625" style="66" customWidth="1"/>
    <col min="7" max="7" width="14.42578125" style="66" customWidth="1"/>
    <col min="8" max="8" width="19.42578125" style="1" customWidth="1"/>
    <col min="9" max="9" width="40.2851562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217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73"/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73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74"/>
      <c r="J8" s="77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74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74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74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74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74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74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74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74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74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74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74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74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74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3000</v>
      </c>
      <c r="E23" s="123"/>
      <c r="F23" s="124"/>
      <c r="G23" s="124"/>
      <c r="H23" s="125">
        <f>SUM(C23:G23)</f>
        <v>3000</v>
      </c>
      <c r="I23" s="74"/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>
        <v>5000</v>
      </c>
      <c r="E24" s="123"/>
      <c r="F24" s="124"/>
      <c r="G24" s="124"/>
      <c r="H24" s="125">
        <f t="shared" ref="H24:H62" si="1">SUM(C24:G24)</f>
        <v>5000</v>
      </c>
      <c r="I24" s="74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23"/>
      <c r="E25" s="123"/>
      <c r="F25" s="124"/>
      <c r="G25" s="124"/>
      <c r="H25" s="125">
        <f t="shared" si="1"/>
        <v>0</v>
      </c>
      <c r="I25" s="74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74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74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>
        <v>2000</v>
      </c>
      <c r="E28" s="123"/>
      <c r="F28" s="124"/>
      <c r="G28" s="124"/>
      <c r="H28" s="125">
        <f t="shared" si="1"/>
        <v>2000</v>
      </c>
      <c r="I28" s="74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74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74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/>
      <c r="E31" s="123"/>
      <c r="F31" s="124"/>
      <c r="G31" s="124"/>
      <c r="H31" s="125">
        <f t="shared" si="1"/>
        <v>0</v>
      </c>
      <c r="I31" s="74"/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74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74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74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/>
      <c r="F35" s="124"/>
      <c r="G35" s="124"/>
      <c r="H35" s="125">
        <f t="shared" si="1"/>
        <v>0</v>
      </c>
      <c r="I35" s="74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/>
      <c r="E36" s="123"/>
      <c r="F36" s="124"/>
      <c r="G36" s="124"/>
      <c r="H36" s="125">
        <f t="shared" si="1"/>
        <v>0</v>
      </c>
      <c r="I36" s="74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/>
      <c r="G37" s="124"/>
      <c r="H37" s="125">
        <f t="shared" si="1"/>
        <v>0</v>
      </c>
      <c r="I37" s="74"/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/>
      <c r="G38" s="124"/>
      <c r="H38" s="125">
        <f>SUM(C38:G38)</f>
        <v>0</v>
      </c>
      <c r="I38" s="74"/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74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74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/>
      <c r="G41" s="124"/>
      <c r="H41" s="125">
        <f t="shared" si="1"/>
        <v>0</v>
      </c>
      <c r="I41" s="74"/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88">
        <v>20000</v>
      </c>
      <c r="F42" s="131"/>
      <c r="G42" s="131"/>
      <c r="H42" s="125">
        <f t="shared" si="1"/>
        <v>20000</v>
      </c>
      <c r="I42" s="74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/>
      <c r="E43" s="123"/>
      <c r="F43" s="131"/>
      <c r="G43" s="131"/>
      <c r="H43" s="125">
        <f t="shared" si="1"/>
        <v>0</v>
      </c>
      <c r="I43" s="74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74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/>
      <c r="E45" s="123"/>
      <c r="F45" s="124"/>
      <c r="G45" s="124"/>
      <c r="H45" s="125">
        <f t="shared" si="1"/>
        <v>0</v>
      </c>
      <c r="I45" s="74"/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88">
        <v>35000</v>
      </c>
      <c r="F46" s="124"/>
      <c r="G46" s="124"/>
      <c r="H46" s="125">
        <f t="shared" si="1"/>
        <v>35000</v>
      </c>
      <c r="I46" s="74"/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/>
      <c r="E47" s="123"/>
      <c r="F47" s="124"/>
      <c r="G47" s="124"/>
      <c r="H47" s="125">
        <f t="shared" si="1"/>
        <v>0</v>
      </c>
      <c r="I47" s="74"/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74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74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/>
      <c r="E50" s="123"/>
      <c r="F50" s="124"/>
      <c r="G50" s="124"/>
      <c r="H50" s="125">
        <f t="shared" si="1"/>
        <v>0</v>
      </c>
      <c r="I50" s="74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/>
      <c r="G51" s="124"/>
      <c r="H51" s="125">
        <f t="shared" si="1"/>
        <v>0</v>
      </c>
      <c r="I51" s="74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74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74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74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/>
      <c r="E55" s="123"/>
      <c r="F55" s="124"/>
      <c r="G55" s="124"/>
      <c r="H55" s="125">
        <f t="shared" si="1"/>
        <v>0</v>
      </c>
      <c r="I55" s="74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74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74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>
        <v>10000</v>
      </c>
      <c r="E58" s="173">
        <v>10000</v>
      </c>
      <c r="F58" s="124"/>
      <c r="G58" s="124"/>
      <c r="H58" s="125">
        <f t="shared" si="1"/>
        <v>20000</v>
      </c>
      <c r="I58" s="74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23"/>
      <c r="F59" s="124"/>
      <c r="G59" s="124"/>
      <c r="H59" s="125">
        <f>SUM(C59:G59)</f>
        <v>0</v>
      </c>
      <c r="I59" s="74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74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74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74"/>
      <c r="J62" s="77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20000</v>
      </c>
      <c r="E63" s="128">
        <f>SUM(E23:E62)</f>
        <v>65000</v>
      </c>
      <c r="F63" s="128">
        <f t="shared" ref="F63:G63" si="2">SUM(F23:F62)</f>
        <v>0</v>
      </c>
      <c r="G63" s="128">
        <f t="shared" si="2"/>
        <v>0</v>
      </c>
      <c r="H63" s="128">
        <f>SUM(C63:G63)</f>
        <v>85000</v>
      </c>
      <c r="I63" s="74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25">
        <f>SUM(C65:G65)</f>
        <v>0</v>
      </c>
      <c r="I65" s="74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25">
        <f t="shared" ref="H66:H108" si="3">SUM(C66:G66)</f>
        <v>0</v>
      </c>
      <c r="I66" s="74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  <c r="I67" s="74"/>
      <c r="J67" s="77"/>
    </row>
    <row r="68" spans="1:10" s="14" customFormat="1" ht="12.75" x14ac:dyDescent="0.2">
      <c r="A68" s="80">
        <v>3171</v>
      </c>
      <c r="B68" s="81" t="s">
        <v>40</v>
      </c>
      <c r="C68" s="123">
        <v>260000</v>
      </c>
      <c r="D68" s="123"/>
      <c r="E68" s="173">
        <v>50000</v>
      </c>
      <c r="F68" s="131"/>
      <c r="G68" s="131"/>
      <c r="H68" s="125">
        <f t="shared" si="3"/>
        <v>310000</v>
      </c>
      <c r="I68" s="74"/>
      <c r="J68" s="77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25">
        <f t="shared" si="3"/>
        <v>0</v>
      </c>
      <c r="I69" s="74"/>
      <c r="J69" s="77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25">
        <f t="shared" si="3"/>
        <v>0</v>
      </c>
      <c r="I70" s="74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23"/>
      <c r="F71" s="131"/>
      <c r="G71" s="131"/>
      <c r="H71" s="125">
        <f t="shared" si="3"/>
        <v>0</v>
      </c>
      <c r="I71" s="74"/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25">
        <f t="shared" si="3"/>
        <v>0</v>
      </c>
      <c r="I72" s="74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/>
      <c r="F73" s="131"/>
      <c r="G73" s="131"/>
      <c r="H73" s="125">
        <f t="shared" si="3"/>
        <v>0</v>
      </c>
      <c r="I73" s="74"/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25">
        <f t="shared" si="3"/>
        <v>0</v>
      </c>
      <c r="I74" s="74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23"/>
      <c r="F75" s="131"/>
      <c r="G75" s="131"/>
      <c r="H75" s="125">
        <f t="shared" si="3"/>
        <v>0</v>
      </c>
      <c r="I75" s="74"/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25">
        <f t="shared" si="3"/>
        <v>0</v>
      </c>
      <c r="I76" s="74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/>
      <c r="G77" s="124"/>
      <c r="H77" s="125">
        <f t="shared" si="3"/>
        <v>0</v>
      </c>
      <c r="I77" s="74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25">
        <f t="shared" si="3"/>
        <v>0</v>
      </c>
      <c r="I78" s="74"/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/>
      <c r="F79" s="124"/>
      <c r="G79" s="124"/>
      <c r="H79" s="125">
        <f t="shared" si="3"/>
        <v>0</v>
      </c>
      <c r="I79" s="74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25">
        <f t="shared" si="3"/>
        <v>0</v>
      </c>
      <c r="I80" s="74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25">
        <f t="shared" si="3"/>
        <v>0</v>
      </c>
      <c r="I81" s="74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25">
        <f t="shared" si="3"/>
        <v>0</v>
      </c>
      <c r="I82" s="74"/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25">
        <f t="shared" si="3"/>
        <v>0</v>
      </c>
      <c r="I83" s="74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/>
      <c r="G84" s="124"/>
      <c r="H84" s="125">
        <f t="shared" si="3"/>
        <v>0</v>
      </c>
      <c r="I84" s="74"/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25">
        <f t="shared" si="3"/>
        <v>0</v>
      </c>
      <c r="I85" s="74"/>
      <c r="J85" s="77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25">
        <f t="shared" si="3"/>
        <v>0</v>
      </c>
      <c r="I86" s="74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>
        <v>10000</v>
      </c>
      <c r="F87" s="124"/>
      <c r="G87" s="124"/>
      <c r="H87" s="125">
        <f t="shared" si="3"/>
        <v>10000</v>
      </c>
      <c r="I87" s="74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25">
        <f t="shared" si="3"/>
        <v>0</v>
      </c>
      <c r="I88" s="74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25">
        <f t="shared" si="3"/>
        <v>0</v>
      </c>
      <c r="I89" s="74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>
        <v>20000</v>
      </c>
      <c r="F90" s="124"/>
      <c r="G90" s="124"/>
      <c r="H90" s="125">
        <f t="shared" si="3"/>
        <v>20000</v>
      </c>
      <c r="I90" s="74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/>
      <c r="F91" s="131"/>
      <c r="G91" s="131"/>
      <c r="H91" s="125">
        <f t="shared" si="3"/>
        <v>0</v>
      </c>
      <c r="I91" s="74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25">
        <f t="shared" si="3"/>
        <v>0</v>
      </c>
      <c r="I92" s="74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25">
        <f t="shared" si="3"/>
        <v>0</v>
      </c>
      <c r="I93" s="74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25">
        <f t="shared" si="3"/>
        <v>0</v>
      </c>
      <c r="I94" s="74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25">
        <f t="shared" si="3"/>
        <v>0</v>
      </c>
      <c r="I95" s="74"/>
      <c r="J95" s="77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25">
        <f t="shared" si="3"/>
        <v>0</v>
      </c>
      <c r="I96" s="74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>
        <v>49290</v>
      </c>
      <c r="G97" s="131"/>
      <c r="H97" s="125">
        <f t="shared" si="3"/>
        <v>49290</v>
      </c>
      <c r="I97" s="74" t="s">
        <v>236</v>
      </c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  <c r="I98" s="74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73">
        <f>10000+5000</f>
        <v>15000</v>
      </c>
      <c r="F99" s="124"/>
      <c r="G99" s="124"/>
      <c r="H99" s="125">
        <f t="shared" si="3"/>
        <v>15000</v>
      </c>
      <c r="I99" s="74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/>
      <c r="F100" s="124"/>
      <c r="G100" s="124"/>
      <c r="H100" s="125">
        <f t="shared" si="3"/>
        <v>0</v>
      </c>
      <c r="I100" s="74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>
        <v>25000</v>
      </c>
      <c r="F101" s="124"/>
      <c r="G101" s="124"/>
      <c r="H101" s="125">
        <f t="shared" si="3"/>
        <v>25000</v>
      </c>
      <c r="I101" s="74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>
        <v>5000</v>
      </c>
      <c r="F102" s="124"/>
      <c r="G102" s="124"/>
      <c r="H102" s="125">
        <f t="shared" si="3"/>
        <v>5000</v>
      </c>
      <c r="I102" s="74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  <c r="I103" s="74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25">
        <f t="shared" si="3"/>
        <v>0</v>
      </c>
      <c r="I104" s="74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25">
        <f t="shared" si="3"/>
        <v>0</v>
      </c>
      <c r="I105" s="74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25">
        <f t="shared" si="3"/>
        <v>0</v>
      </c>
      <c r="I106" s="74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/>
      <c r="F107" s="131"/>
      <c r="G107" s="131"/>
      <c r="H107" s="125">
        <f t="shared" si="3"/>
        <v>0</v>
      </c>
      <c r="I107" s="74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25">
        <f t="shared" si="3"/>
        <v>0</v>
      </c>
      <c r="I108" s="74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260000</v>
      </c>
      <c r="D109" s="61">
        <f>SUM(D65:D108)</f>
        <v>0</v>
      </c>
      <c r="E109" s="61">
        <f>SUM(E65:E108)</f>
        <v>125000</v>
      </c>
      <c r="F109" s="65">
        <f>SUM(F65:F108)</f>
        <v>49290</v>
      </c>
      <c r="G109" s="65">
        <f>SUM(G65:G108)</f>
        <v>0</v>
      </c>
      <c r="H109" s="65">
        <f>SUM(C109:G109)</f>
        <v>434290</v>
      </c>
      <c r="I109" s="74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25.5" x14ac:dyDescent="0.2">
      <c r="A111" s="80">
        <v>4156</v>
      </c>
      <c r="B111" s="81" t="s">
        <v>239</v>
      </c>
      <c r="C111" s="170"/>
      <c r="D111" s="173">
        <v>500000</v>
      </c>
      <c r="E111" s="170"/>
      <c r="F111" s="124"/>
      <c r="G111" s="124"/>
      <c r="H111" s="171">
        <f>SUM(C111:F111)</f>
        <v>500000</v>
      </c>
      <c r="I111" s="75"/>
      <c r="J111" s="77"/>
    </row>
    <row r="112" spans="1:10" s="14" customFormat="1" ht="12.75" x14ac:dyDescent="0.2">
      <c r="A112" s="80">
        <v>4246</v>
      </c>
      <c r="B112" s="81" t="s">
        <v>238</v>
      </c>
      <c r="C112" s="123"/>
      <c r="D112" s="186"/>
      <c r="E112" s="170"/>
      <c r="F112" s="124"/>
      <c r="G112" s="124"/>
      <c r="H112" s="171">
        <f>SUM(C112:F112)</f>
        <v>0</v>
      </c>
      <c r="I112" s="74"/>
      <c r="J112" s="77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SUM(D111:D112)</f>
        <v>500000</v>
      </c>
      <c r="E113" s="61">
        <f>SUM(E112)</f>
        <v>0</v>
      </c>
      <c r="F113" s="61">
        <f t="shared" ref="F113" si="4">SUM(F112)</f>
        <v>0</v>
      </c>
      <c r="G113" s="61"/>
      <c r="H113" s="61">
        <f>SUM(H111:H112)</f>
        <v>500000</v>
      </c>
      <c r="I113" s="74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>
        <v>21000</v>
      </c>
      <c r="G115" s="124"/>
      <c r="H115" s="125">
        <f>SUM(C115:G115)</f>
        <v>21000</v>
      </c>
      <c r="I115" s="74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>
        <v>236860</v>
      </c>
      <c r="G116" s="124"/>
      <c r="H116" s="125">
        <f t="shared" ref="H116:H130" si="5">SUM(C116:G116)</f>
        <v>236860</v>
      </c>
      <c r="I116" s="74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>
        <v>43000</v>
      </c>
      <c r="G117" s="124"/>
      <c r="H117" s="125">
        <f t="shared" si="5"/>
        <v>43000</v>
      </c>
      <c r="I117" s="74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88">
        <v>24000</v>
      </c>
      <c r="F118" s="124"/>
      <c r="G118" s="124"/>
      <c r="H118" s="125">
        <f t="shared" si="5"/>
        <v>24000</v>
      </c>
      <c r="I118" s="74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74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74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/>
      <c r="G121" s="124"/>
      <c r="H121" s="125">
        <f t="shared" si="5"/>
        <v>0</v>
      </c>
      <c r="I121" s="74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>
        <v>870000</v>
      </c>
      <c r="G122" s="124"/>
      <c r="H122" s="125">
        <f t="shared" si="5"/>
        <v>870000</v>
      </c>
      <c r="I122" s="74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74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74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74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74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74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74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74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74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24000</v>
      </c>
      <c r="F131" s="129">
        <f>SUM(F115:F130)</f>
        <v>1170860</v>
      </c>
      <c r="G131" s="129">
        <f>SUM(G115:G130)</f>
        <v>0</v>
      </c>
      <c r="H131" s="130">
        <f>SUM(C131:G131)</f>
        <v>1194860</v>
      </c>
      <c r="I131" s="74"/>
      <c r="J131" s="77"/>
    </row>
    <row r="132" spans="1:10" s="23" customFormat="1" ht="24.75" customHeight="1" x14ac:dyDescent="0.2">
      <c r="A132" s="24"/>
      <c r="B132" s="21" t="s">
        <v>114</v>
      </c>
      <c r="C132" s="132">
        <f t="shared" ref="C132:H132" si="7">C131+C113+C109+C63+C21</f>
        <v>260000</v>
      </c>
      <c r="D132" s="132">
        <f t="shared" si="7"/>
        <v>520000</v>
      </c>
      <c r="E132" s="132">
        <f t="shared" si="7"/>
        <v>214000</v>
      </c>
      <c r="F132" s="133">
        <f t="shared" si="7"/>
        <v>1220150</v>
      </c>
      <c r="G132" s="133">
        <f t="shared" si="7"/>
        <v>0</v>
      </c>
      <c r="H132" s="135">
        <f t="shared" si="7"/>
        <v>2214150</v>
      </c>
      <c r="I132" s="7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2">
    <mergeCell ref="G5:G6"/>
    <mergeCell ref="H5:H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79" workbookViewId="0">
      <selection activeCell="E99" sqref="E99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140625" style="66" customWidth="1"/>
    <col min="7" max="7" width="14.42578125" style="66" customWidth="1"/>
    <col min="8" max="8" width="19.42578125" style="1" customWidth="1"/>
    <col min="9" max="9" width="52.2851562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221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73"/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73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74"/>
      <c r="J8" s="77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74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74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74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74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74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74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74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74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74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74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74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74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74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6000</v>
      </c>
      <c r="E23" s="185">
        <v>5000</v>
      </c>
      <c r="F23" s="124"/>
      <c r="G23" s="124"/>
      <c r="H23" s="125">
        <f>SUM(C23:G23)</f>
        <v>11000</v>
      </c>
      <c r="I23" s="74"/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/>
      <c r="E24" s="123"/>
      <c r="F24" s="124"/>
      <c r="G24" s="124"/>
      <c r="H24" s="125">
        <f t="shared" ref="H24:H62" si="1">SUM(C24:G24)</f>
        <v>0</v>
      </c>
      <c r="I24" s="74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23"/>
      <c r="E25" s="123"/>
      <c r="F25" s="124"/>
      <c r="G25" s="124"/>
      <c r="H25" s="125">
        <f t="shared" si="1"/>
        <v>0</v>
      </c>
      <c r="I25" s="74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74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74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>
        <v>60000</v>
      </c>
      <c r="E28" s="123"/>
      <c r="F28" s="124"/>
      <c r="G28" s="124"/>
      <c r="H28" s="125">
        <f t="shared" si="1"/>
        <v>60000</v>
      </c>
      <c r="I28" s="74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74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>
        <v>7000</v>
      </c>
      <c r="G30" s="124"/>
      <c r="H30" s="125">
        <f t="shared" si="1"/>
        <v>7000</v>
      </c>
      <c r="I30" s="74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/>
      <c r="E31" s="123"/>
      <c r="F31" s="124"/>
      <c r="G31" s="124"/>
      <c r="H31" s="125">
        <f t="shared" si="1"/>
        <v>0</v>
      </c>
      <c r="I31" s="74"/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74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74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74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/>
      <c r="F35" s="124"/>
      <c r="G35" s="124"/>
      <c r="H35" s="125">
        <f t="shared" si="1"/>
        <v>0</v>
      </c>
      <c r="I35" s="74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/>
      <c r="E36" s="123"/>
      <c r="F36" s="124"/>
      <c r="G36" s="124"/>
      <c r="H36" s="125">
        <f t="shared" si="1"/>
        <v>0</v>
      </c>
      <c r="I36" s="74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/>
      <c r="G37" s="124"/>
      <c r="H37" s="125">
        <f t="shared" si="1"/>
        <v>0</v>
      </c>
      <c r="I37" s="74"/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/>
      <c r="G38" s="124"/>
      <c r="H38" s="125">
        <f>SUM(C38:G38)</f>
        <v>0</v>
      </c>
      <c r="I38" s="74"/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74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74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/>
      <c r="G41" s="124"/>
      <c r="H41" s="125">
        <f t="shared" si="1"/>
        <v>0</v>
      </c>
      <c r="I41" s="74"/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23"/>
      <c r="F42" s="131"/>
      <c r="G42" s="131"/>
      <c r="H42" s="125">
        <f t="shared" si="1"/>
        <v>0</v>
      </c>
      <c r="I42" s="74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/>
      <c r="E43" s="123"/>
      <c r="F43" s="131"/>
      <c r="G43" s="131"/>
      <c r="H43" s="125">
        <f t="shared" si="1"/>
        <v>0</v>
      </c>
      <c r="I43" s="74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74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/>
      <c r="E45" s="123"/>
      <c r="F45" s="124"/>
      <c r="G45" s="124"/>
      <c r="H45" s="125">
        <f t="shared" si="1"/>
        <v>0</v>
      </c>
      <c r="I45" s="74"/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23"/>
      <c r="F46" s="124"/>
      <c r="G46" s="124"/>
      <c r="H46" s="125">
        <f t="shared" si="1"/>
        <v>0</v>
      </c>
      <c r="I46" s="74"/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/>
      <c r="E47" s="123"/>
      <c r="F47" s="124"/>
      <c r="G47" s="124"/>
      <c r="H47" s="125">
        <f t="shared" si="1"/>
        <v>0</v>
      </c>
      <c r="I47" s="74"/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74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74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/>
      <c r="E50" s="123"/>
      <c r="F50" s="124"/>
      <c r="G50" s="124"/>
      <c r="H50" s="125">
        <f t="shared" si="1"/>
        <v>0</v>
      </c>
      <c r="I50" s="74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/>
      <c r="G51" s="124"/>
      <c r="H51" s="125">
        <f t="shared" si="1"/>
        <v>0</v>
      </c>
      <c r="I51" s="74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74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74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74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/>
      <c r="E55" s="123"/>
      <c r="F55" s="124"/>
      <c r="G55" s="124"/>
      <c r="H55" s="125">
        <f t="shared" si="1"/>
        <v>0</v>
      </c>
      <c r="I55" s="74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74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74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74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23"/>
      <c r="F59" s="124"/>
      <c r="G59" s="124"/>
      <c r="H59" s="125">
        <f>SUM(C59:G59)</f>
        <v>0</v>
      </c>
      <c r="I59" s="74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74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74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74"/>
      <c r="J62" s="77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66000</v>
      </c>
      <c r="E63" s="128">
        <f>SUM(E23:E62)</f>
        <v>5000</v>
      </c>
      <c r="F63" s="128">
        <f t="shared" ref="F63:G63" si="2">SUM(F23:F62)</f>
        <v>7000</v>
      </c>
      <c r="G63" s="128">
        <f t="shared" si="2"/>
        <v>0</v>
      </c>
      <c r="H63" s="128">
        <f>SUM(C63:G63)</f>
        <v>78000</v>
      </c>
      <c r="I63" s="74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25">
        <f>SUM(C65:G65)</f>
        <v>0</v>
      </c>
      <c r="I65" s="74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25">
        <f t="shared" ref="H66:H108" si="3">SUM(C66:G66)</f>
        <v>0</v>
      </c>
      <c r="I66" s="74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  <c r="I67" s="74"/>
      <c r="J67" s="77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/>
      <c r="G68" s="131"/>
      <c r="H68" s="125">
        <f t="shared" si="3"/>
        <v>0</v>
      </c>
      <c r="I68" s="74"/>
      <c r="J68" s="77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25">
        <f t="shared" si="3"/>
        <v>0</v>
      </c>
      <c r="I69" s="74"/>
      <c r="J69" s="77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25">
        <f t="shared" si="3"/>
        <v>0</v>
      </c>
      <c r="I70" s="74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23"/>
      <c r="F71" s="131"/>
      <c r="G71" s="131"/>
      <c r="H71" s="125">
        <f t="shared" si="3"/>
        <v>0</v>
      </c>
      <c r="I71" s="74"/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25">
        <f t="shared" si="3"/>
        <v>0</v>
      </c>
      <c r="I72" s="74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/>
      <c r="F73" s="131"/>
      <c r="G73" s="131"/>
      <c r="H73" s="125">
        <f t="shared" si="3"/>
        <v>0</v>
      </c>
      <c r="I73" s="74"/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31">
        <v>14665</v>
      </c>
      <c r="E74" s="173">
        <v>21000</v>
      </c>
      <c r="G74" s="131"/>
      <c r="H74" s="125">
        <f t="shared" si="3"/>
        <v>35665</v>
      </c>
      <c r="I74" s="74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23"/>
      <c r="F75" s="131">
        <v>44000</v>
      </c>
      <c r="G75" s="131"/>
      <c r="H75" s="125">
        <f t="shared" si="3"/>
        <v>44000</v>
      </c>
      <c r="I75" s="74"/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25">
        <f t="shared" si="3"/>
        <v>0</v>
      </c>
      <c r="I76" s="74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>
        <v>40000</v>
      </c>
      <c r="G77" s="124"/>
      <c r="H77" s="125">
        <f t="shared" si="3"/>
        <v>40000</v>
      </c>
      <c r="I77" s="74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25">
        <f t="shared" si="3"/>
        <v>0</v>
      </c>
      <c r="I78" s="74"/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/>
      <c r="F79" s="124"/>
      <c r="G79" s="124"/>
      <c r="H79" s="125">
        <f t="shared" si="3"/>
        <v>0</v>
      </c>
      <c r="I79" s="74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25">
        <f t="shared" si="3"/>
        <v>0</v>
      </c>
      <c r="I80" s="74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25">
        <f t="shared" si="3"/>
        <v>0</v>
      </c>
      <c r="I81" s="74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25">
        <f t="shared" si="3"/>
        <v>0</v>
      </c>
      <c r="I82" s="74"/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25">
        <f t="shared" si="3"/>
        <v>0</v>
      </c>
      <c r="I83" s="74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/>
      <c r="G84" s="124"/>
      <c r="H84" s="125">
        <f t="shared" si="3"/>
        <v>0</v>
      </c>
      <c r="I84" s="74"/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25">
        <f t="shared" si="3"/>
        <v>0</v>
      </c>
      <c r="I85" s="74"/>
      <c r="J85" s="77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25">
        <f t="shared" si="3"/>
        <v>0</v>
      </c>
      <c r="I86" s="74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/>
      <c r="F87" s="124"/>
      <c r="G87" s="124"/>
      <c r="H87" s="125">
        <f t="shared" si="3"/>
        <v>0</v>
      </c>
      <c r="I87" s="74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25">
        <f t="shared" si="3"/>
        <v>0</v>
      </c>
      <c r="I88" s="74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25">
        <f t="shared" si="3"/>
        <v>0</v>
      </c>
      <c r="I89" s="74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25">
        <f t="shared" si="3"/>
        <v>0</v>
      </c>
      <c r="I90" s="74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/>
      <c r="F91" s="131"/>
      <c r="G91" s="131"/>
      <c r="H91" s="125">
        <f t="shared" si="3"/>
        <v>0</v>
      </c>
      <c r="I91" s="74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25">
        <f t="shared" si="3"/>
        <v>0</v>
      </c>
      <c r="I92" s="74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25">
        <f t="shared" si="3"/>
        <v>0</v>
      </c>
      <c r="I93" s="74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25">
        <f t="shared" si="3"/>
        <v>0</v>
      </c>
      <c r="I94" s="74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>
        <v>35000</v>
      </c>
      <c r="F95" s="124"/>
      <c r="G95" s="124"/>
      <c r="H95" s="125">
        <f t="shared" si="3"/>
        <v>35000</v>
      </c>
      <c r="I95" s="74"/>
      <c r="J95" s="77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25">
        <f t="shared" si="3"/>
        <v>0</v>
      </c>
      <c r="I96" s="74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>
        <v>92328</v>
      </c>
      <c r="G97" s="131"/>
      <c r="H97" s="125">
        <f t="shared" si="3"/>
        <v>92328</v>
      </c>
      <c r="I97" s="156" t="s">
        <v>237</v>
      </c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  <c r="I98" s="74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88">
        <f>20000+17000+15000</f>
        <v>52000</v>
      </c>
      <c r="F99" s="124"/>
      <c r="G99" s="124"/>
      <c r="H99" s="125">
        <f t="shared" si="3"/>
        <v>52000</v>
      </c>
      <c r="I99" s="74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/>
      <c r="F100" s="124"/>
      <c r="G100" s="124"/>
      <c r="H100" s="125">
        <f t="shared" si="3"/>
        <v>0</v>
      </c>
      <c r="I100" s="74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>
        <v>45000</v>
      </c>
      <c r="F101" s="124"/>
      <c r="G101" s="124"/>
      <c r="H101" s="125">
        <f t="shared" si="3"/>
        <v>45000</v>
      </c>
      <c r="I101" s="74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>
        <v>25000</v>
      </c>
      <c r="F102" s="124"/>
      <c r="G102" s="124"/>
      <c r="H102" s="125">
        <f t="shared" si="3"/>
        <v>25000</v>
      </c>
      <c r="I102" s="74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  <c r="I103" s="74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25">
        <f t="shared" si="3"/>
        <v>0</v>
      </c>
      <c r="I104" s="74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25">
        <f t="shared" si="3"/>
        <v>0</v>
      </c>
      <c r="I105" s="74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25">
        <f t="shared" si="3"/>
        <v>0</v>
      </c>
      <c r="I106" s="74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/>
      <c r="F107" s="131"/>
      <c r="G107" s="131"/>
      <c r="H107" s="125">
        <f t="shared" si="3"/>
        <v>0</v>
      </c>
      <c r="I107" s="74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25">
        <f t="shared" si="3"/>
        <v>0</v>
      </c>
      <c r="I108" s="74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0</v>
      </c>
      <c r="D109" s="61">
        <f>SUM(D65:D108)</f>
        <v>14665</v>
      </c>
      <c r="E109" s="61">
        <f>SUM(E65:E108)</f>
        <v>178000</v>
      </c>
      <c r="F109" s="65">
        <f>SUM(F65:F108)</f>
        <v>176328</v>
      </c>
      <c r="G109" s="65">
        <f>SUM(G65:G108)</f>
        <v>0</v>
      </c>
      <c r="H109" s="65">
        <f>SUM(C109:G109)</f>
        <v>368993</v>
      </c>
      <c r="I109" s="74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12.75" x14ac:dyDescent="0.2">
      <c r="A111" s="80">
        <v>4246</v>
      </c>
      <c r="B111" s="81" t="s">
        <v>238</v>
      </c>
      <c r="C111" s="60"/>
      <c r="D111" s="60"/>
      <c r="E111" s="60"/>
      <c r="F111" s="64"/>
      <c r="G111" s="64"/>
      <c r="H111" s="18"/>
      <c r="I111" s="75"/>
      <c r="J111" s="77"/>
    </row>
    <row r="112" spans="1:10" s="14" customFormat="1" ht="25.5" x14ac:dyDescent="0.2">
      <c r="A112" s="80">
        <v>4156</v>
      </c>
      <c r="B112" s="81" t="s">
        <v>239</v>
      </c>
      <c r="C112" s="58"/>
      <c r="D112" s="58"/>
      <c r="E112" s="60"/>
      <c r="F112" s="64"/>
      <c r="G112" s="64"/>
      <c r="H112" s="18">
        <f>SUM(C112:F112)</f>
        <v>0</v>
      </c>
      <c r="I112" s="74"/>
      <c r="J112" s="77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SUM(D112)</f>
        <v>0</v>
      </c>
      <c r="E113" s="61">
        <f>SUM(E112)</f>
        <v>0</v>
      </c>
      <c r="F113" s="61">
        <f t="shared" ref="F113:H113" si="4">SUM(F112)</f>
        <v>0</v>
      </c>
      <c r="G113" s="61"/>
      <c r="H113" s="61">
        <f t="shared" si="4"/>
        <v>0</v>
      </c>
      <c r="I113" s="74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/>
      <c r="G115" s="124"/>
      <c r="H115" s="125">
        <f>SUM(C115:G115)</f>
        <v>0</v>
      </c>
      <c r="I115" s="74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74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74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74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74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74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/>
      <c r="G121" s="124"/>
      <c r="H121" s="125">
        <f t="shared" si="5"/>
        <v>0</v>
      </c>
      <c r="I121" s="74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74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74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74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74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74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74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74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74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74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0</v>
      </c>
      <c r="F131" s="129">
        <f>SUM(F115:F130)</f>
        <v>0</v>
      </c>
      <c r="G131" s="129">
        <f>SUM(G115:G130)</f>
        <v>0</v>
      </c>
      <c r="H131" s="130">
        <f>SUM(C131:G131)</f>
        <v>0</v>
      </c>
      <c r="I131" s="74"/>
      <c r="J131" s="77"/>
    </row>
    <row r="132" spans="1:10" s="23" customFormat="1" ht="24.75" customHeight="1" x14ac:dyDescent="0.2">
      <c r="A132" s="24"/>
      <c r="B132" s="21" t="s">
        <v>114</v>
      </c>
      <c r="C132" s="132">
        <f t="shared" ref="C132:H132" si="7">C131+C113+C109+C63+C21</f>
        <v>0</v>
      </c>
      <c r="D132" s="132">
        <f t="shared" si="7"/>
        <v>80665</v>
      </c>
      <c r="E132" s="132">
        <f t="shared" si="7"/>
        <v>183000</v>
      </c>
      <c r="F132" s="133">
        <f t="shared" si="7"/>
        <v>183328</v>
      </c>
      <c r="G132" s="133">
        <f t="shared" si="7"/>
        <v>0</v>
      </c>
      <c r="H132" s="135">
        <f t="shared" si="7"/>
        <v>446993</v>
      </c>
      <c r="I132" s="7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2">
    <mergeCell ref="G5:G6"/>
    <mergeCell ref="H5:H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19" workbookViewId="0">
      <selection activeCell="E40" sqref="E40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140625" style="66" customWidth="1"/>
    <col min="7" max="7" width="14.42578125" style="66" customWidth="1"/>
    <col min="8" max="8" width="19.42578125" style="1" customWidth="1"/>
    <col min="9" max="9" width="47.710937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220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277" t="s">
        <v>225</v>
      </c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278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51">
        <f>3906684-151530-2174360-514415+2309784+150000</f>
        <v>3526163</v>
      </c>
      <c r="D8" s="184">
        <f>3906684+2309784-286468</f>
        <v>5930000</v>
      </c>
      <c r="E8" s="151"/>
      <c r="F8" s="152"/>
      <c r="G8" s="152"/>
      <c r="H8" s="152">
        <f>SUM(C8:G8)</f>
        <v>9456163</v>
      </c>
      <c r="I8" s="153"/>
      <c r="J8" s="77"/>
    </row>
    <row r="9" spans="1:11" s="14" customFormat="1" ht="13.5" customHeight="1" x14ac:dyDescent="0.25">
      <c r="A9" s="80">
        <v>1311</v>
      </c>
      <c r="B9" s="81" t="s">
        <v>2</v>
      </c>
      <c r="C9" s="151">
        <v>104108</v>
      </c>
      <c r="D9" s="184">
        <f>104108-20000</f>
        <v>84108</v>
      </c>
      <c r="E9" s="151"/>
      <c r="F9" s="152"/>
      <c r="G9" s="152"/>
      <c r="H9" s="152">
        <f t="shared" ref="H9:H20" si="0">SUM(C9:G9)</f>
        <v>188216</v>
      </c>
      <c r="I9" s="153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51">
        <f>341950-144957</f>
        <v>196993</v>
      </c>
      <c r="D10" s="151">
        <f>341950+50000</f>
        <v>391950</v>
      </c>
      <c r="E10" s="151"/>
      <c r="F10" s="152"/>
      <c r="G10" s="152"/>
      <c r="H10" s="152">
        <f t="shared" si="0"/>
        <v>588943</v>
      </c>
      <c r="I10" s="153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51">
        <f>1036072-301994</f>
        <v>734078</v>
      </c>
      <c r="D11" s="151">
        <v>690714</v>
      </c>
      <c r="E11" s="151"/>
      <c r="F11" s="152"/>
      <c r="G11" s="152"/>
      <c r="H11" s="152">
        <f t="shared" si="0"/>
        <v>1424792</v>
      </c>
      <c r="I11" s="153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51">
        <f>119048-74000</f>
        <v>45048</v>
      </c>
      <c r="D12" s="151">
        <v>119048</v>
      </c>
      <c r="E12" s="192">
        <v>23000</v>
      </c>
      <c r="F12" s="152"/>
      <c r="G12" s="152"/>
      <c r="H12" s="152">
        <f t="shared" si="0"/>
        <v>187096</v>
      </c>
      <c r="I12" s="153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51">
        <f>-226388+647239-150000</f>
        <v>270851</v>
      </c>
      <c r="D13" s="184">
        <f>647239-150000-50000-20000</f>
        <v>427239</v>
      </c>
      <c r="E13" s="151"/>
      <c r="F13" s="152"/>
      <c r="G13" s="152"/>
      <c r="H13" s="152">
        <f t="shared" si="0"/>
        <v>698090</v>
      </c>
      <c r="I13" s="153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51">
        <f>186492-65230</f>
        <v>121262</v>
      </c>
      <c r="D14" s="184">
        <f>186492-20000</f>
        <v>166492</v>
      </c>
      <c r="E14" s="151"/>
      <c r="F14" s="152"/>
      <c r="G14" s="152"/>
      <c r="H14" s="152">
        <f t="shared" si="0"/>
        <v>287754</v>
      </c>
      <c r="I14" s="153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51">
        <f>678351-260923</f>
        <v>417428</v>
      </c>
      <c r="D15" s="184">
        <f>678351-2626</f>
        <v>675725</v>
      </c>
      <c r="E15" s="151"/>
      <c r="F15" s="152"/>
      <c r="G15" s="152"/>
      <c r="H15" s="152">
        <f t="shared" si="0"/>
        <v>1093153</v>
      </c>
      <c r="I15" s="153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51">
        <f>124328-43487</f>
        <v>80841</v>
      </c>
      <c r="D16" s="151">
        <v>124328</v>
      </c>
      <c r="E16" s="151"/>
      <c r="F16" s="152"/>
      <c r="G16" s="152"/>
      <c r="H16" s="152">
        <f t="shared" si="0"/>
        <v>205169</v>
      </c>
      <c r="I16" s="153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51">
        <v>96897</v>
      </c>
      <c r="D17" s="174">
        <f>96897+200000</f>
        <v>296897</v>
      </c>
      <c r="E17" s="151"/>
      <c r="F17" s="152"/>
      <c r="G17" s="152"/>
      <c r="H17" s="152">
        <f t="shared" si="0"/>
        <v>393794</v>
      </c>
      <c r="I17" s="153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51">
        <v>457948</v>
      </c>
      <c r="D18" s="184">
        <f>457948-50000</f>
        <v>407948</v>
      </c>
      <c r="E18" s="151"/>
      <c r="F18" s="152"/>
      <c r="G18" s="152"/>
      <c r="H18" s="152">
        <f t="shared" si="0"/>
        <v>865896</v>
      </c>
      <c r="I18" s="153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51">
        <v>518036</v>
      </c>
      <c r="D19" s="151"/>
      <c r="E19" s="151"/>
      <c r="F19" s="152"/>
      <c r="G19" s="152"/>
      <c r="H19" s="152">
        <f t="shared" si="0"/>
        <v>518036</v>
      </c>
      <c r="I19" s="153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51">
        <f>250000-90598</f>
        <v>159402</v>
      </c>
      <c r="D20" s="184">
        <f>250000+150000-120000</f>
        <v>280000</v>
      </c>
      <c r="E20" s="192">
        <v>30000</v>
      </c>
      <c r="F20" s="152"/>
      <c r="G20" s="152"/>
      <c r="H20" s="152">
        <f t="shared" si="0"/>
        <v>469402</v>
      </c>
      <c r="I20" s="153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6729055</v>
      </c>
      <c r="D21" s="128">
        <f>SUM(D8:D20)</f>
        <v>9594449</v>
      </c>
      <c r="E21" s="128">
        <f>SUM(E7:E20)</f>
        <v>53000</v>
      </c>
      <c r="F21" s="129">
        <f>SUM(F7:F20)</f>
        <v>0</v>
      </c>
      <c r="G21" s="129">
        <f>SUM(G7:G20)</f>
        <v>0</v>
      </c>
      <c r="H21" s="129">
        <f>SUM(C21:G21)</f>
        <v>16376504</v>
      </c>
      <c r="I21" s="153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8000</v>
      </c>
      <c r="E23" s="173">
        <v>5000</v>
      </c>
      <c r="F23" s="124"/>
      <c r="G23" s="124"/>
      <c r="H23" s="125">
        <f>SUM(C23:G23)</f>
        <v>13000</v>
      </c>
      <c r="I23" s="153"/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>
        <v>95000</v>
      </c>
      <c r="E24" s="123"/>
      <c r="F24" s="124"/>
      <c r="G24" s="124"/>
      <c r="H24" s="125">
        <f>SUM(C24:G24)</f>
        <v>95000</v>
      </c>
      <c r="I24" s="153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23"/>
      <c r="E25" s="123"/>
      <c r="F25" s="124"/>
      <c r="G25" s="124"/>
      <c r="H25" s="125">
        <f t="shared" ref="H25:H62" si="1">SUM(C25:G25)</f>
        <v>0</v>
      </c>
      <c r="I25" s="153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>
        <v>100000</v>
      </c>
      <c r="E26" s="173">
        <v>10000</v>
      </c>
      <c r="F26" s="124"/>
      <c r="G26" s="124"/>
      <c r="H26" s="125">
        <f t="shared" si="1"/>
        <v>110000</v>
      </c>
      <c r="I26" s="153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153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>
        <v>2000</v>
      </c>
      <c r="E28" s="123"/>
      <c r="F28" s="124"/>
      <c r="G28" s="124"/>
      <c r="H28" s="125">
        <f t="shared" si="1"/>
        <v>2000</v>
      </c>
      <c r="I28" s="153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>
        <v>6000</v>
      </c>
      <c r="E29" s="123"/>
      <c r="F29" s="124"/>
      <c r="G29" s="124"/>
      <c r="H29" s="125">
        <f t="shared" si="1"/>
        <v>6000</v>
      </c>
      <c r="I29" s="153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153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/>
      <c r="E31" s="123"/>
      <c r="F31" s="124"/>
      <c r="G31" s="124"/>
      <c r="H31" s="125">
        <f t="shared" si="1"/>
        <v>0</v>
      </c>
      <c r="I31" s="153"/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>
        <v>10000</v>
      </c>
      <c r="G32" s="124"/>
      <c r="H32" s="125">
        <f t="shared" si="1"/>
        <v>10000</v>
      </c>
      <c r="I32" s="153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>
        <v>500</v>
      </c>
      <c r="E33" s="123"/>
      <c r="F33" s="124"/>
      <c r="G33" s="124"/>
      <c r="H33" s="125">
        <f t="shared" si="1"/>
        <v>500</v>
      </c>
      <c r="I33" s="153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>
        <v>15000</v>
      </c>
      <c r="E34" s="123"/>
      <c r="F34" s="124"/>
      <c r="G34" s="124"/>
      <c r="H34" s="125">
        <f t="shared" si="1"/>
        <v>15000</v>
      </c>
      <c r="I34" s="153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>
        <v>2500</v>
      </c>
      <c r="F35" s="124"/>
      <c r="G35" s="124"/>
      <c r="H35" s="125">
        <f t="shared" si="1"/>
        <v>2500</v>
      </c>
      <c r="I35" s="153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>
        <v>6000</v>
      </c>
      <c r="E36" s="123"/>
      <c r="F36" s="124"/>
      <c r="G36" s="124"/>
      <c r="H36" s="125">
        <f t="shared" si="1"/>
        <v>6000</v>
      </c>
      <c r="I36" s="153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>
        <v>15000</v>
      </c>
      <c r="G37" s="124"/>
      <c r="H37" s="125">
        <f t="shared" si="1"/>
        <v>15000</v>
      </c>
      <c r="I37" s="153"/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73">
        <v>147000</v>
      </c>
      <c r="F38" s="124">
        <v>50000</v>
      </c>
      <c r="G38" s="124"/>
      <c r="H38" s="125">
        <f>SUM(C38:G38)</f>
        <v>197000</v>
      </c>
      <c r="I38" s="153"/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>
        <v>30000</v>
      </c>
      <c r="E39" s="123"/>
      <c r="F39" s="124"/>
      <c r="G39" s="124"/>
      <c r="H39" s="125">
        <f t="shared" si="1"/>
        <v>30000</v>
      </c>
      <c r="I39" s="153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88">
        <f>10000+10000</f>
        <v>20000</v>
      </c>
      <c r="F40" s="124">
        <v>15000</v>
      </c>
      <c r="G40" s="124"/>
      <c r="H40" s="125">
        <f t="shared" si="1"/>
        <v>35000</v>
      </c>
      <c r="I40" s="153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/>
      <c r="G41" s="124"/>
      <c r="H41" s="125">
        <f t="shared" si="1"/>
        <v>0</v>
      </c>
      <c r="I41" s="153"/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23"/>
      <c r="F42" s="131"/>
      <c r="G42" s="131"/>
      <c r="H42" s="125">
        <f t="shared" si="1"/>
        <v>0</v>
      </c>
      <c r="I42" s="153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>
        <v>1000</v>
      </c>
      <c r="E43" s="123"/>
      <c r="F43" s="131">
        <v>1500</v>
      </c>
      <c r="G43" s="131"/>
      <c r="H43" s="125">
        <f t="shared" si="1"/>
        <v>2500</v>
      </c>
      <c r="I43" s="153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>
        <v>1500</v>
      </c>
      <c r="G44" s="124"/>
      <c r="H44" s="125">
        <f t="shared" si="1"/>
        <v>1500</v>
      </c>
      <c r="I44" s="153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/>
      <c r="E45" s="123"/>
      <c r="F45" s="124"/>
      <c r="G45" s="124"/>
      <c r="H45" s="125">
        <f t="shared" si="1"/>
        <v>0</v>
      </c>
      <c r="I45" s="153"/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73">
        <v>3000</v>
      </c>
      <c r="F46" s="124">
        <v>7000</v>
      </c>
      <c r="G46" s="124"/>
      <c r="H46" s="125">
        <f t="shared" si="1"/>
        <v>10000</v>
      </c>
      <c r="I46" s="153"/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/>
      <c r="E47" s="123"/>
      <c r="F47" s="124"/>
      <c r="G47" s="124"/>
      <c r="H47" s="125">
        <f t="shared" si="1"/>
        <v>0</v>
      </c>
      <c r="I47" s="153"/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>
        <v>210000</v>
      </c>
      <c r="E48" s="123"/>
      <c r="F48" s="124"/>
      <c r="G48" s="124"/>
      <c r="H48" s="125">
        <f t="shared" si="1"/>
        <v>210000</v>
      </c>
      <c r="I48" s="153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153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>
        <v>90000</v>
      </c>
      <c r="E50" s="123"/>
      <c r="F50" s="124"/>
      <c r="G50" s="124"/>
      <c r="H50" s="125">
        <f t="shared" si="1"/>
        <v>90000</v>
      </c>
      <c r="I50" s="153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>
        <v>3000</v>
      </c>
      <c r="G51" s="124"/>
      <c r="H51" s="125">
        <f t="shared" si="1"/>
        <v>3000</v>
      </c>
      <c r="I51" s="153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153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153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153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>
        <v>5000</v>
      </c>
      <c r="E55" s="188">
        <v>10000</v>
      </c>
      <c r="F55" s="124"/>
      <c r="G55" s="124"/>
      <c r="H55" s="125">
        <f t="shared" si="1"/>
        <v>15000</v>
      </c>
      <c r="I55" s="153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>
        <v>4000</v>
      </c>
      <c r="E56" s="123"/>
      <c r="F56" s="124"/>
      <c r="G56" s="124"/>
      <c r="H56" s="125">
        <f t="shared" si="1"/>
        <v>4000</v>
      </c>
      <c r="I56" s="153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>
        <v>20000</v>
      </c>
      <c r="E57" s="123"/>
      <c r="F57" s="124"/>
      <c r="G57" s="124"/>
      <c r="H57" s="125">
        <f t="shared" si="1"/>
        <v>20000</v>
      </c>
      <c r="I57" s="153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153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23"/>
      <c r="F59" s="124"/>
      <c r="G59" s="124"/>
      <c r="H59" s="125">
        <f>SUM(C59:G59)</f>
        <v>0</v>
      </c>
      <c r="I59" s="153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>
        <v>40000</v>
      </c>
      <c r="E60" s="123"/>
      <c r="F60" s="124"/>
      <c r="G60" s="124"/>
      <c r="H60" s="125">
        <f t="shared" si="1"/>
        <v>40000</v>
      </c>
      <c r="I60" s="153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153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>
        <v>4000</v>
      </c>
      <c r="E62" s="123"/>
      <c r="F62" s="124"/>
      <c r="G62" s="124"/>
      <c r="H62" s="125">
        <f t="shared" si="1"/>
        <v>4000</v>
      </c>
      <c r="I62" s="153"/>
      <c r="J62" s="77"/>
    </row>
    <row r="63" spans="1:10" s="14" customFormat="1" ht="27" customHeight="1" x14ac:dyDescent="0.2">
      <c r="A63" s="126"/>
      <c r="B63" s="127" t="s">
        <v>110</v>
      </c>
      <c r="C63" s="128">
        <f>SUM(C23:C62)</f>
        <v>0</v>
      </c>
      <c r="D63" s="128">
        <f>SUM(D23:D62)</f>
        <v>636500</v>
      </c>
      <c r="E63" s="128">
        <f>SUM(E23:E62)</f>
        <v>197500</v>
      </c>
      <c r="F63" s="128">
        <f t="shared" ref="F63:G63" si="2">SUM(F23:F62)</f>
        <v>103000</v>
      </c>
      <c r="G63" s="128">
        <f t="shared" si="2"/>
        <v>0</v>
      </c>
      <c r="H63" s="128">
        <f>SUM(C63:G63)</f>
        <v>937000</v>
      </c>
      <c r="I63" s="153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>
        <v>340000</v>
      </c>
      <c r="D65" s="123"/>
      <c r="E65" s="173">
        <v>10000</v>
      </c>
      <c r="F65" s="124"/>
      <c r="G65" s="124"/>
      <c r="H65" s="154">
        <f>SUM(C65:G65)</f>
        <v>350000</v>
      </c>
      <c r="I65" s="153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54">
        <f t="shared" ref="H66:H108" si="3">SUM(C66:G66)</f>
        <v>0</v>
      </c>
      <c r="I66" s="153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54">
        <f t="shared" si="3"/>
        <v>0</v>
      </c>
      <c r="I67" s="153"/>
      <c r="J67" s="77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>
        <v>10000</v>
      </c>
      <c r="G68" s="131"/>
      <c r="H68" s="154">
        <f t="shared" si="3"/>
        <v>10000</v>
      </c>
      <c r="I68" s="153"/>
      <c r="J68" s="77"/>
    </row>
    <row r="69" spans="1:10" s="14" customFormat="1" ht="12.75" x14ac:dyDescent="0.2">
      <c r="A69" s="80">
        <v>3181</v>
      </c>
      <c r="B69" s="81" t="s">
        <v>41</v>
      </c>
      <c r="C69" s="123">
        <v>4712</v>
      </c>
      <c r="D69" s="123"/>
      <c r="E69" s="188">
        <v>4000</v>
      </c>
      <c r="F69" s="131"/>
      <c r="G69" s="131"/>
      <c r="H69" s="154">
        <f t="shared" si="3"/>
        <v>8712</v>
      </c>
      <c r="I69" s="153"/>
      <c r="J69" s="77"/>
    </row>
    <row r="70" spans="1:10" s="14" customFormat="1" ht="12.75" x14ac:dyDescent="0.2">
      <c r="A70" s="80">
        <v>3221</v>
      </c>
      <c r="B70" s="81" t="s">
        <v>159</v>
      </c>
      <c r="C70" s="123">
        <v>24000</v>
      </c>
      <c r="D70" s="123"/>
      <c r="E70" s="123"/>
      <c r="F70" s="131"/>
      <c r="G70" s="131"/>
      <c r="H70" s="154">
        <f t="shared" si="3"/>
        <v>24000</v>
      </c>
      <c r="I70" s="153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73">
        <v>10000</v>
      </c>
      <c r="F71" s="131">
        <v>52000</v>
      </c>
      <c r="G71" s="131"/>
      <c r="H71" s="154">
        <f t="shared" si="3"/>
        <v>62000</v>
      </c>
      <c r="I71" s="153"/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54">
        <f t="shared" si="3"/>
        <v>0</v>
      </c>
      <c r="I72" s="153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>
        <v>230000</v>
      </c>
      <c r="F73" s="131"/>
      <c r="G73" s="131"/>
      <c r="H73" s="154">
        <f t="shared" si="3"/>
        <v>230000</v>
      </c>
      <c r="I73" s="153"/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54">
        <f t="shared" si="3"/>
        <v>0</v>
      </c>
      <c r="I74" s="153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83">
        <f>139200-58000</f>
        <v>81200</v>
      </c>
      <c r="F75" s="131">
        <v>60000</v>
      </c>
      <c r="G75" s="131"/>
      <c r="H75" s="154">
        <f t="shared" si="3"/>
        <v>141200</v>
      </c>
      <c r="I75" s="153" t="s">
        <v>231</v>
      </c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83">
        <f>20000-9290</f>
        <v>10710</v>
      </c>
      <c r="E76" s="123"/>
      <c r="F76" s="124"/>
      <c r="G76" s="124"/>
      <c r="H76" s="154">
        <f t="shared" si="3"/>
        <v>10710</v>
      </c>
      <c r="I76" s="153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>
        <v>80000</v>
      </c>
      <c r="G77" s="124"/>
      <c r="H77" s="154">
        <f t="shared" si="3"/>
        <v>80000</v>
      </c>
      <c r="I77" s="153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83">
        <f>78000-73000</f>
        <v>5000</v>
      </c>
      <c r="F78" s="124"/>
      <c r="G78" s="124"/>
      <c r="H78" s="154">
        <f t="shared" si="3"/>
        <v>5000</v>
      </c>
      <c r="I78" s="153" t="s">
        <v>233</v>
      </c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>
        <v>5000</v>
      </c>
      <c r="F79" s="124"/>
      <c r="G79" s="124"/>
      <c r="H79" s="154">
        <f t="shared" si="3"/>
        <v>5000</v>
      </c>
      <c r="I79" s="153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54">
        <f t="shared" si="3"/>
        <v>0</v>
      </c>
      <c r="I80" s="153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54">
        <f t="shared" si="3"/>
        <v>0</v>
      </c>
      <c r="I81" s="153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>
        <v>30000</v>
      </c>
      <c r="E82" s="123"/>
      <c r="F82" s="124"/>
      <c r="G82" s="124"/>
      <c r="H82" s="154">
        <f t="shared" si="3"/>
        <v>30000</v>
      </c>
      <c r="I82" s="153" t="s">
        <v>232</v>
      </c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54">
        <f t="shared" si="3"/>
        <v>0</v>
      </c>
      <c r="I83" s="153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88">
        <v>110000</v>
      </c>
      <c r="F84" s="124"/>
      <c r="G84" s="124"/>
      <c r="H84" s="154">
        <f t="shared" si="3"/>
        <v>110000</v>
      </c>
      <c r="I84" s="153"/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>
        <v>18000</v>
      </c>
      <c r="E85" s="173">
        <v>16000</v>
      </c>
      <c r="F85" s="124"/>
      <c r="G85" s="124"/>
      <c r="H85" s="154">
        <f t="shared" si="3"/>
        <v>34000</v>
      </c>
      <c r="I85" s="153" t="s">
        <v>235</v>
      </c>
      <c r="J85" s="77"/>
    </row>
    <row r="86" spans="1:10" s="14" customFormat="1" ht="12.75" x14ac:dyDescent="0.2">
      <c r="A86" s="80">
        <v>3451</v>
      </c>
      <c r="B86" s="81" t="s">
        <v>51</v>
      </c>
      <c r="C86" s="123">
        <v>275000</v>
      </c>
      <c r="D86" s="123"/>
      <c r="E86" s="123"/>
      <c r="F86" s="124"/>
      <c r="G86" s="124"/>
      <c r="H86" s="154">
        <f t="shared" si="3"/>
        <v>275000</v>
      </c>
      <c r="I86" s="153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>
        <v>10000</v>
      </c>
      <c r="F87" s="124"/>
      <c r="G87" s="124"/>
      <c r="H87" s="154">
        <f t="shared" si="3"/>
        <v>10000</v>
      </c>
      <c r="I87" s="153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83">
        <f>150000-60000</f>
        <v>90000</v>
      </c>
      <c r="F88" s="124"/>
      <c r="G88" s="124"/>
      <c r="H88" s="154">
        <f t="shared" si="3"/>
        <v>90000</v>
      </c>
      <c r="I88" s="153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54">
        <f t="shared" si="3"/>
        <v>0</v>
      </c>
      <c r="I89" s="153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54">
        <f t="shared" si="3"/>
        <v>0</v>
      </c>
      <c r="I90" s="153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/>
      <c r="F91" s="131"/>
      <c r="G91" s="131"/>
      <c r="H91" s="154">
        <f t="shared" si="3"/>
        <v>0</v>
      </c>
      <c r="I91" s="153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88">
        <v>15000</v>
      </c>
      <c r="F92" s="124">
        <v>40000</v>
      </c>
      <c r="G92" s="124"/>
      <c r="H92" s="154">
        <f t="shared" si="3"/>
        <v>55000</v>
      </c>
      <c r="I92" s="153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>
        <v>40000</v>
      </c>
      <c r="F93" s="124"/>
      <c r="G93" s="124"/>
      <c r="H93" s="154">
        <f t="shared" si="3"/>
        <v>40000</v>
      </c>
      <c r="I93" s="153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54">
        <f t="shared" si="3"/>
        <v>0</v>
      </c>
      <c r="I94" s="153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54">
        <f t="shared" si="3"/>
        <v>0</v>
      </c>
      <c r="I95" s="153"/>
      <c r="J95" s="77"/>
    </row>
    <row r="96" spans="1:10" s="14" customFormat="1" ht="12.75" x14ac:dyDescent="0.2">
      <c r="A96" s="80">
        <v>3591</v>
      </c>
      <c r="B96" s="81" t="s">
        <v>59</v>
      </c>
      <c r="C96" s="123">
        <v>4500</v>
      </c>
      <c r="D96" s="123"/>
      <c r="E96" s="123"/>
      <c r="F96" s="124"/>
      <c r="G96" s="124"/>
      <c r="H96" s="154">
        <f t="shared" si="3"/>
        <v>4500</v>
      </c>
      <c r="I96" s="153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/>
      <c r="G97" s="131"/>
      <c r="H97" s="154">
        <f t="shared" si="3"/>
        <v>0</v>
      </c>
      <c r="I97" s="153"/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54">
        <f t="shared" si="3"/>
        <v>0</v>
      </c>
      <c r="I98" s="153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23"/>
      <c r="F99" s="124"/>
      <c r="G99" s="124"/>
      <c r="H99" s="154">
        <f t="shared" si="3"/>
        <v>0</v>
      </c>
      <c r="I99" s="153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>
        <v>7000</v>
      </c>
      <c r="F100" s="124"/>
      <c r="G100" s="124"/>
      <c r="H100" s="154">
        <f t="shared" si="3"/>
        <v>7000</v>
      </c>
      <c r="I100" s="153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>
        <v>20000</v>
      </c>
      <c r="F101" s="124"/>
      <c r="G101" s="124"/>
      <c r="H101" s="154">
        <f t="shared" si="3"/>
        <v>20000</v>
      </c>
      <c r="I101" s="153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88">
        <f>15000+20000</f>
        <v>35000</v>
      </c>
      <c r="F102" s="124"/>
      <c r="G102" s="124"/>
      <c r="H102" s="154">
        <f t="shared" si="3"/>
        <v>35000</v>
      </c>
      <c r="I102" s="153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54">
        <f t="shared" si="3"/>
        <v>0</v>
      </c>
      <c r="I103" s="153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54">
        <f t="shared" si="3"/>
        <v>0</v>
      </c>
      <c r="I104" s="153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54">
        <f t="shared" si="3"/>
        <v>0</v>
      </c>
      <c r="I105" s="153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54">
        <f t="shared" si="3"/>
        <v>0</v>
      </c>
      <c r="I106" s="153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>
        <v>6000</v>
      </c>
      <c r="F107" s="131"/>
      <c r="G107" s="131"/>
      <c r="H107" s="154">
        <f t="shared" si="3"/>
        <v>6000</v>
      </c>
      <c r="I107" s="153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>
        <v>150000</v>
      </c>
      <c r="G108" s="124"/>
      <c r="H108" s="154">
        <f t="shared" si="3"/>
        <v>150000</v>
      </c>
      <c r="I108" s="153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648212</v>
      </c>
      <c r="D109" s="61">
        <f>SUM(D65:D108)</f>
        <v>58710</v>
      </c>
      <c r="E109" s="61">
        <f>SUM(E65:E108)</f>
        <v>694200</v>
      </c>
      <c r="F109" s="65">
        <f>SUM(F65:F108)</f>
        <v>392000</v>
      </c>
      <c r="G109" s="65">
        <f>SUM(G65:G108)</f>
        <v>0</v>
      </c>
      <c r="H109" s="65">
        <f>SUM(C109:G109)</f>
        <v>1793122</v>
      </c>
      <c r="I109" s="153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25.5" x14ac:dyDescent="0.2">
      <c r="A111" s="80">
        <v>4156</v>
      </c>
      <c r="B111" s="81" t="s">
        <v>239</v>
      </c>
      <c r="C111" s="186"/>
      <c r="D111" s="170"/>
      <c r="E111" s="170"/>
      <c r="F111" s="124"/>
      <c r="G111" s="124"/>
      <c r="H111" s="171"/>
      <c r="I111" s="75"/>
      <c r="J111" s="77"/>
    </row>
    <row r="112" spans="1:10" s="14" customFormat="1" ht="12.75" x14ac:dyDescent="0.2">
      <c r="A112" s="80">
        <v>4246</v>
      </c>
      <c r="B112" s="81" t="s">
        <v>238</v>
      </c>
      <c r="C112" s="185">
        <v>376517.08</v>
      </c>
      <c r="D112" s="123"/>
      <c r="E112" s="170"/>
      <c r="F112" s="124"/>
      <c r="G112" s="124"/>
      <c r="H112" s="171">
        <f>SUM(C112:F112)</f>
        <v>376517.08</v>
      </c>
      <c r="I112" s="172"/>
      <c r="J112" s="77"/>
    </row>
    <row r="113" spans="1:10" s="14" customFormat="1" ht="28.5" customHeight="1" x14ac:dyDescent="0.2">
      <c r="A113" s="22"/>
      <c r="B113" s="20" t="s">
        <v>112</v>
      </c>
      <c r="C113" s="61">
        <f>SUM(C111:C112)</f>
        <v>376517.08</v>
      </c>
      <c r="D113" s="61">
        <f t="shared" ref="D113:H113" si="4">SUM(D111:D112)</f>
        <v>0</v>
      </c>
      <c r="E113" s="61">
        <f t="shared" si="4"/>
        <v>0</v>
      </c>
      <c r="F113" s="61">
        <f t="shared" si="4"/>
        <v>0</v>
      </c>
      <c r="G113" s="61">
        <f t="shared" si="4"/>
        <v>0</v>
      </c>
      <c r="H113" s="61">
        <f t="shared" si="4"/>
        <v>376517.08</v>
      </c>
      <c r="I113" s="153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/>
      <c r="G115" s="124"/>
      <c r="H115" s="125">
        <f>SUM(C115:G115)</f>
        <v>0</v>
      </c>
      <c r="I115" s="153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153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153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153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153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153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/>
      <c r="G121" s="124"/>
      <c r="H121" s="125">
        <f t="shared" si="5"/>
        <v>0</v>
      </c>
      <c r="I121" s="153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153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153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153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153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153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153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153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153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153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0</v>
      </c>
      <c r="F131" s="129">
        <f>SUM(F115:F130)</f>
        <v>0</v>
      </c>
      <c r="G131" s="129">
        <f>SUM(G115:G130)</f>
        <v>0</v>
      </c>
      <c r="H131" s="130">
        <f>SUM(C131:G131)</f>
        <v>0</v>
      </c>
      <c r="I131" s="153"/>
      <c r="J131" s="77"/>
    </row>
    <row r="132" spans="1:10" s="23" customFormat="1" ht="24.75" customHeight="1" x14ac:dyDescent="0.2">
      <c r="A132" s="24"/>
      <c r="B132" s="21" t="s">
        <v>114</v>
      </c>
      <c r="C132" s="132">
        <f t="shared" ref="C132:H132" si="7">C131+C113+C109+C63+C21</f>
        <v>7753784.0800000001</v>
      </c>
      <c r="D132" s="132">
        <f t="shared" si="7"/>
        <v>10289659</v>
      </c>
      <c r="E132" s="132">
        <f t="shared" si="7"/>
        <v>944700</v>
      </c>
      <c r="F132" s="133">
        <f t="shared" si="7"/>
        <v>495000</v>
      </c>
      <c r="G132" s="133">
        <f t="shared" si="7"/>
        <v>0</v>
      </c>
      <c r="H132" s="135">
        <f t="shared" si="7"/>
        <v>19483143.079999998</v>
      </c>
      <c r="I132" s="15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3">
    <mergeCell ref="G5:G6"/>
    <mergeCell ref="H5:H6"/>
    <mergeCell ref="I5:I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39"/>
  <sheetViews>
    <sheetView topLeftCell="A115" workbookViewId="0">
      <selection activeCell="H19" sqref="H19"/>
    </sheetView>
  </sheetViews>
  <sheetFormatPr baseColWidth="10" defaultRowHeight="15" x14ac:dyDescent="0.25"/>
  <cols>
    <col min="2" max="2" width="44.140625" style="175" customWidth="1"/>
    <col min="3" max="3" width="14.42578125" style="66" bestFit="1" customWidth="1"/>
    <col min="4" max="4" width="15.85546875" style="66" customWidth="1"/>
    <col min="5" max="5" width="22" customWidth="1"/>
    <col min="6" max="6" width="14.42578125" bestFit="1" customWidth="1"/>
    <col min="7" max="7" width="12.7109375" bestFit="1" customWidth="1"/>
    <col min="8" max="8" width="17.28515625" customWidth="1"/>
    <col min="10" max="10" width="17.140625" customWidth="1"/>
  </cols>
  <sheetData>
    <row r="6" spans="1:10" ht="21.75" customHeight="1" x14ac:dyDescent="0.25">
      <c r="C6" s="179" t="s">
        <v>222</v>
      </c>
      <c r="D6" s="179" t="s">
        <v>223</v>
      </c>
      <c r="E6" s="180" t="s">
        <v>85</v>
      </c>
      <c r="F6" s="180" t="s">
        <v>169</v>
      </c>
      <c r="G6" s="180" t="s">
        <v>224</v>
      </c>
      <c r="H6" s="180" t="s">
        <v>241</v>
      </c>
    </row>
    <row r="8" spans="1:10" x14ac:dyDescent="0.25">
      <c r="A8">
        <f>'Administración Recursos'!A8</f>
        <v>1131</v>
      </c>
      <c r="B8" s="175" t="str">
        <f>'Administración Recursos'!B8</f>
        <v>Sueldo base</v>
      </c>
      <c r="C8" s="66">
        <f>Electromecánica!C8+Alimentarias!C8+Innovación!C8+Administración!C8+Investigación!C8+'Desarrollo Academico CEIN'!C8+'Servicios Escolares'!C8+Vinculación!C8+Planeación!C8+Calidad!C8+'Administración Recursos'!C8</f>
        <v>3526163</v>
      </c>
      <c r="D8" s="66">
        <f>Electromecánica!D8+Alimentarias!D8+Innovación!D8+Administración!D8+Investigación!D8+'Desarrollo Academico CEIN'!D8+'Servicios Escolares'!D8+Vinculación!D8+Planeación!D8+Calidad!D8+'Administración Recursos'!D8</f>
        <v>5930000</v>
      </c>
      <c r="E8" s="66">
        <f>Electromecánica!E8+Alimentarias!E8+Innovación!E8+Administración!E8+Investigación!E8+'Desarrollo Academico CEIN'!E8+'Servicios Escolares'!E8+Vinculación!E8+Planeación!E8+Calidad!E8+'Administración Recursos'!E8</f>
        <v>0</v>
      </c>
      <c r="F8" s="66">
        <f>Electromecánica!F8+Alimentarias!F8+Innovación!F8+Administración!F8+Investigación!F8+'Desarrollo Academico CEIN'!F8+'Servicios Escolares'!F8+Vinculación!F8+Planeación!F8+Calidad!F8+'Administración Recursos'!F8</f>
        <v>0</v>
      </c>
      <c r="G8" s="66">
        <f>Electromecánica!G8+Alimentarias!G8+Innovación!G8+Administración!G8+Investigación!G8+'Desarrollo Academico CEIN'!G8+'Servicios Escolares'!G8+Vinculación!G8+Planeación!G8+Calidad!G8+'Administración Recursos'!G8</f>
        <v>0</v>
      </c>
      <c r="H8" s="121">
        <f>SUM(C8:G8)</f>
        <v>9456163</v>
      </c>
      <c r="J8" s="187">
        <f>H8-'PE-PARTIDA'!H8</f>
        <v>0</v>
      </c>
    </row>
    <row r="9" spans="1:10" ht="30" x14ac:dyDescent="0.25">
      <c r="A9" s="1">
        <f>'Administración Recursos'!A9</f>
        <v>1311</v>
      </c>
      <c r="B9" s="175" t="str">
        <f>'Administración Recursos'!B9</f>
        <v>Prima quinquenal por años de servicios efectivos prestados</v>
      </c>
      <c r="C9" s="66">
        <f>Electromecánica!C9+Alimentarias!C9+Innovación!C9+Administración!C9+Investigación!C9+'Desarrollo Academico CEIN'!C9+'Servicios Escolares'!C9+Vinculación!C9+Planeación!C9+Calidad!C9+'Administración Recursos'!C9</f>
        <v>104108</v>
      </c>
      <c r="D9" s="66">
        <f>Electromecánica!D9+Alimentarias!D9+Innovación!D9+Administración!D9+Investigación!D9+'Desarrollo Academico CEIN'!D9+'Servicios Escolares'!D9+Vinculación!D9+Planeación!D9+Calidad!D9+'Administración Recursos'!D9</f>
        <v>84108</v>
      </c>
      <c r="E9" s="66">
        <f>Electromecánica!E9+Alimentarias!E9+Innovación!E9+Administración!E9+Investigación!E9+'Desarrollo Academico CEIN'!E9+'Servicios Escolares'!E9+Vinculación!E9+Planeación!E9+Calidad!E9+'Administración Recursos'!E9</f>
        <v>0</v>
      </c>
      <c r="F9" s="66">
        <f>Electromecánica!F9+Alimentarias!F9+Innovación!F9+Administración!F9+Investigación!F9+'Desarrollo Academico CEIN'!F9+'Servicios Escolares'!F9+Vinculación!F9+Planeación!F9+Calidad!F9+'Administración Recursos'!F9</f>
        <v>0</v>
      </c>
      <c r="G9" s="66">
        <f>Electromecánica!G9+Alimentarias!G9+Innovación!G9+Administración!G9+Investigación!G9+'Desarrollo Academico CEIN'!G9+'Servicios Escolares'!G9+Vinculación!G9+Planeación!G9+Calidad!G9+'Administración Recursos'!G9</f>
        <v>0</v>
      </c>
      <c r="H9" s="121">
        <f t="shared" ref="H9:H21" si="0">SUM(C9:G9)</f>
        <v>188216</v>
      </c>
      <c r="J9" s="187">
        <f>H9-'PE-PARTIDA'!H9</f>
        <v>0</v>
      </c>
    </row>
    <row r="10" spans="1:10" x14ac:dyDescent="0.25">
      <c r="A10" s="1">
        <f>'Administración Recursos'!A10</f>
        <v>1321</v>
      </c>
      <c r="B10" s="175" t="str">
        <f>'Administración Recursos'!B10</f>
        <v>Prima vacacional y dominical</v>
      </c>
      <c r="C10" s="66">
        <f>Electromecánica!C10+Alimentarias!C10+Innovación!C10+Administración!C10+Investigación!C10+'Desarrollo Academico CEIN'!C10+'Servicios Escolares'!C10+Vinculación!C10+Planeación!C10+Calidad!C10+'Administración Recursos'!C10</f>
        <v>196993</v>
      </c>
      <c r="D10" s="66">
        <f>Electromecánica!D10+Alimentarias!D10+Innovación!D10+Administración!D10+Investigación!D10+'Desarrollo Academico CEIN'!D10+'Servicios Escolares'!D10+Vinculación!D10+Planeación!D10+Calidad!D10+'Administración Recursos'!D10</f>
        <v>391950</v>
      </c>
      <c r="E10" s="66">
        <f>Electromecánica!E10+Alimentarias!E10+Innovación!E10+Administración!E10+Investigación!E10+'Desarrollo Academico CEIN'!E10+'Servicios Escolares'!E10+Vinculación!E10+Planeación!E10+Calidad!E10+'Administración Recursos'!E10</f>
        <v>0</v>
      </c>
      <c r="F10" s="66">
        <f>Electromecánica!F10+Alimentarias!F10+Innovación!F10+Administración!F10+Investigación!F10+'Desarrollo Academico CEIN'!F10+'Servicios Escolares'!F10+Vinculación!F10+Planeación!F10+Calidad!F10+'Administración Recursos'!F10</f>
        <v>0</v>
      </c>
      <c r="G10" s="66">
        <f>Electromecánica!G10+Alimentarias!G10+Innovación!G10+Administración!G10+Investigación!G10+'Desarrollo Academico CEIN'!G10+'Servicios Escolares'!G10+Vinculación!G10+Planeación!G10+Calidad!G10+'Administración Recursos'!G10</f>
        <v>0</v>
      </c>
      <c r="H10" s="121">
        <f t="shared" si="0"/>
        <v>588943</v>
      </c>
      <c r="J10" s="187">
        <f>H10-'PE-PARTIDA'!H10</f>
        <v>0</v>
      </c>
    </row>
    <row r="11" spans="1:10" x14ac:dyDescent="0.25">
      <c r="A11" s="1">
        <f>'Administración Recursos'!A11</f>
        <v>1322</v>
      </c>
      <c r="B11" s="175" t="str">
        <f>'Administración Recursos'!B11</f>
        <v>Aguinaldo</v>
      </c>
      <c r="C11" s="66">
        <f>Electromecánica!C11+Alimentarias!C11+Innovación!C11+Administración!C11+Investigación!C11+'Desarrollo Academico CEIN'!C11+'Servicios Escolares'!C11+Vinculación!C11+Planeación!C11+Calidad!C11+'Administración Recursos'!C11</f>
        <v>734078</v>
      </c>
      <c r="D11" s="66">
        <f>Electromecánica!D11+Alimentarias!D11+Innovación!D11+Administración!D11+Investigación!D11+'Desarrollo Academico CEIN'!D11+'Servicios Escolares'!D11+Vinculación!D11+Planeación!D11+Calidad!D11+'Administración Recursos'!D11</f>
        <v>690714</v>
      </c>
      <c r="E11" s="66">
        <f>Electromecánica!E11+Alimentarias!E11+Innovación!E11+Administración!E11+Investigación!E11+'Desarrollo Academico CEIN'!E11+'Servicios Escolares'!E11+Vinculación!E11+Planeación!E11+Calidad!E11+'Administración Recursos'!E11</f>
        <v>0</v>
      </c>
      <c r="F11" s="66">
        <f>Electromecánica!F11+Alimentarias!F11+Innovación!F11+Administración!F11+Investigación!F11+'Desarrollo Academico CEIN'!F11+'Servicios Escolares'!F11+Vinculación!F11+Planeación!F11+Calidad!F11+'Administración Recursos'!F11</f>
        <v>0</v>
      </c>
      <c r="G11" s="66">
        <f>Electromecánica!G11+Alimentarias!G11+Innovación!G11+Administración!G11+Investigación!G11+'Desarrollo Academico CEIN'!G11+'Servicios Escolares'!G11+Vinculación!G11+Planeación!G11+Calidad!G11+'Administración Recursos'!G11</f>
        <v>0</v>
      </c>
      <c r="H11" s="121">
        <f t="shared" si="0"/>
        <v>1424792</v>
      </c>
      <c r="J11" s="187">
        <f>H11-'PE-PARTIDA'!H11</f>
        <v>0</v>
      </c>
    </row>
    <row r="12" spans="1:10" x14ac:dyDescent="0.25">
      <c r="A12" s="1">
        <f>'Administración Recursos'!A12</f>
        <v>1343</v>
      </c>
      <c r="B12" s="175" t="str">
        <f>'Administración Recursos'!B12</f>
        <v>Compensaciones para material didáctico</v>
      </c>
      <c r="C12" s="66">
        <f>Electromecánica!C12+Alimentarias!C12+Innovación!C12+Administración!C12+Investigación!C12+'Desarrollo Academico CEIN'!C12+'Servicios Escolares'!C12+Vinculación!C12+Planeación!C12+Calidad!C12+'Administración Recursos'!C12</f>
        <v>45048</v>
      </c>
      <c r="D12" s="66">
        <f>Electromecánica!D12+Alimentarias!D12+Innovación!D12+Administración!D12+Investigación!D12+'Desarrollo Academico CEIN'!D12+'Servicios Escolares'!D12+Vinculación!D12+Planeación!D12+Calidad!D12+'Administración Recursos'!D12</f>
        <v>119048</v>
      </c>
      <c r="E12" s="66">
        <f>Electromecánica!E12+Alimentarias!E12+Innovación!E12+Administración!E12+Investigación!E12+'Desarrollo Academico CEIN'!E12+'Servicios Escolares'!E12+Vinculación!E12+Planeación!E12+Calidad!E12+'Administración Recursos'!E12</f>
        <v>23000</v>
      </c>
      <c r="F12" s="66">
        <f>Electromecánica!F12+Alimentarias!F12+Innovación!F12+Administración!F12+Investigación!F12+'Desarrollo Academico CEIN'!F12+'Servicios Escolares'!F12+Vinculación!F12+Planeación!F12+Calidad!F12+'Administración Recursos'!F12</f>
        <v>0</v>
      </c>
      <c r="G12" s="66">
        <f>Electromecánica!G12+Alimentarias!G12+Innovación!G12+Administración!G12+Investigación!G12+'Desarrollo Academico CEIN'!G12+'Servicios Escolares'!G12+Vinculación!G12+Planeación!G12+Calidad!G12+'Administración Recursos'!G12</f>
        <v>0</v>
      </c>
      <c r="H12" s="121">
        <f t="shared" si="0"/>
        <v>187096</v>
      </c>
      <c r="J12" s="187">
        <f>H12-'PE-PARTIDA'!H12</f>
        <v>0</v>
      </c>
    </row>
    <row r="13" spans="1:10" x14ac:dyDescent="0.25">
      <c r="A13" s="1">
        <f>'Administración Recursos'!A13</f>
        <v>1411</v>
      </c>
      <c r="B13" s="175" t="str">
        <f>'Administración Recursos'!B13</f>
        <v>Cuotas al IMSS por enfermedades y maternidad</v>
      </c>
      <c r="C13" s="66">
        <f>Electromecánica!C13+Alimentarias!C13+Innovación!C13+Administración!C13+Investigación!C13+'Desarrollo Academico CEIN'!C13+'Servicios Escolares'!C13+Vinculación!C13+Planeación!C13+Calidad!C13+'Administración Recursos'!C13</f>
        <v>270851</v>
      </c>
      <c r="D13" s="66">
        <f>Electromecánica!D13+Alimentarias!D13+Innovación!D13+Administración!D13+Investigación!D13+'Desarrollo Academico CEIN'!D13+'Servicios Escolares'!D13+Vinculación!D13+Planeación!D13+Calidad!D13+'Administración Recursos'!D13</f>
        <v>427239</v>
      </c>
      <c r="E13" s="66">
        <f>Electromecánica!E13+Alimentarias!E13+Innovación!E13+Administración!E13+Investigación!E13+'Desarrollo Academico CEIN'!E13+'Servicios Escolares'!E13+Vinculación!E13+Planeación!E13+Calidad!E13+'Administración Recursos'!E13</f>
        <v>0</v>
      </c>
      <c r="F13" s="66">
        <f>Electromecánica!F13+Alimentarias!F13+Innovación!F13+Administración!F13+Investigación!F13+'Desarrollo Academico CEIN'!F13+'Servicios Escolares'!F13+Vinculación!F13+Planeación!F13+Calidad!F13+'Administración Recursos'!F13</f>
        <v>0</v>
      </c>
      <c r="G13" s="66">
        <f>Electromecánica!G13+Alimentarias!G13+Innovación!G13+Administración!G13+Investigación!G13+'Desarrollo Academico CEIN'!G13+'Servicios Escolares'!G13+Vinculación!G13+Planeación!G13+Calidad!G13+'Administración Recursos'!G13</f>
        <v>0</v>
      </c>
      <c r="H13" s="121">
        <f t="shared" si="0"/>
        <v>698090</v>
      </c>
      <c r="J13" s="187">
        <f>H13-'PE-PARTIDA'!H13</f>
        <v>0</v>
      </c>
    </row>
    <row r="14" spans="1:10" x14ac:dyDescent="0.25">
      <c r="A14" s="1">
        <f>'Administración Recursos'!A14</f>
        <v>1421</v>
      </c>
      <c r="B14" s="175" t="str">
        <f>'Administración Recursos'!B14</f>
        <v>Cuotas para la vivienda</v>
      </c>
      <c r="C14" s="66">
        <f>Electromecánica!C14+Alimentarias!C14+Innovación!C14+Administración!C14+Investigación!C14+'Desarrollo Academico CEIN'!C14+'Servicios Escolares'!C14+Vinculación!C14+Planeación!C14+Calidad!C14+'Administración Recursos'!C14</f>
        <v>121262</v>
      </c>
      <c r="D14" s="66">
        <f>Electromecánica!D14+Alimentarias!D14+Innovación!D14+Administración!D14+Investigación!D14+'Desarrollo Academico CEIN'!D14+'Servicios Escolares'!D14+Vinculación!D14+Planeación!D14+Calidad!D14+'Administración Recursos'!D14</f>
        <v>166492</v>
      </c>
      <c r="E14" s="66">
        <f>Electromecánica!E14+Alimentarias!E14+Innovación!E14+Administración!E14+Investigación!E14+'Desarrollo Academico CEIN'!E14+'Servicios Escolares'!E14+Vinculación!E14+Planeación!E14+Calidad!E14+'Administración Recursos'!E14</f>
        <v>0</v>
      </c>
      <c r="F14" s="66">
        <f>Electromecánica!F14+Alimentarias!F14+Innovación!F14+Administración!F14+Investigación!F14+'Desarrollo Academico CEIN'!F14+'Servicios Escolares'!F14+Vinculación!F14+Planeación!F14+Calidad!F14+'Administración Recursos'!F14</f>
        <v>0</v>
      </c>
      <c r="G14" s="66">
        <f>Electromecánica!G14+Alimentarias!G14+Innovación!G14+Administración!G14+Investigación!G14+'Desarrollo Academico CEIN'!G14+'Servicios Escolares'!G14+Vinculación!G14+Planeación!G14+Calidad!G14+'Administración Recursos'!G14</f>
        <v>0</v>
      </c>
      <c r="H14" s="121">
        <f t="shared" si="0"/>
        <v>287754</v>
      </c>
      <c r="J14" s="187">
        <f>H14-'PE-PARTIDA'!H14</f>
        <v>0</v>
      </c>
    </row>
    <row r="15" spans="1:10" x14ac:dyDescent="0.25">
      <c r="A15" s="1">
        <f>'Administración Recursos'!A15</f>
        <v>1431</v>
      </c>
      <c r="B15" s="175" t="str">
        <f>'Administración Recursos'!B15</f>
        <v>Cuotas a pensiones</v>
      </c>
      <c r="C15" s="66">
        <f>Electromecánica!C15+Alimentarias!C15+Innovación!C15+Administración!C15+Investigación!C15+'Desarrollo Academico CEIN'!C15+'Servicios Escolares'!C15+Vinculación!C15+Planeación!C15+Calidad!C15+'Administración Recursos'!C15</f>
        <v>417428</v>
      </c>
      <c r="D15" s="66">
        <f>Electromecánica!D15+Alimentarias!D15+Innovación!D15+Administración!D15+Investigación!D15+'Desarrollo Academico CEIN'!D15+'Servicios Escolares'!D15+Vinculación!D15+Planeación!D15+Calidad!D15+'Administración Recursos'!D15</f>
        <v>675725</v>
      </c>
      <c r="E15" s="66">
        <f>Electromecánica!E15+Alimentarias!E15+Innovación!E15+Administración!E15+Investigación!E15+'Desarrollo Academico CEIN'!E15+'Servicios Escolares'!E15+Vinculación!E15+Planeación!E15+Calidad!E15+'Administración Recursos'!E15</f>
        <v>0</v>
      </c>
      <c r="F15" s="66">
        <f>Electromecánica!F15+Alimentarias!F15+Innovación!F15+Administración!F15+Investigación!F15+'Desarrollo Academico CEIN'!F15+'Servicios Escolares'!F15+Vinculación!F15+Planeación!F15+Calidad!F15+'Administración Recursos'!F15</f>
        <v>0</v>
      </c>
      <c r="G15" s="66">
        <f>Electromecánica!G15+Alimentarias!G15+Innovación!G15+Administración!G15+Investigación!G15+'Desarrollo Academico CEIN'!G15+'Servicios Escolares'!G15+Vinculación!G15+Planeación!G15+Calidad!G15+'Administración Recursos'!G15</f>
        <v>0</v>
      </c>
      <c r="H15" s="121">
        <f t="shared" si="0"/>
        <v>1093153</v>
      </c>
      <c r="J15" s="187">
        <f>H15-'PE-PARTIDA'!H15</f>
        <v>0</v>
      </c>
    </row>
    <row r="16" spans="1:10" ht="30" x14ac:dyDescent="0.25">
      <c r="A16" s="1">
        <f>'Administración Recursos'!A16</f>
        <v>1432</v>
      </c>
      <c r="B16" s="175" t="str">
        <f>'Administración Recursos'!B16</f>
        <v>Cuotas para el Sistema de Ahorro para el Retiro (SAR)</v>
      </c>
      <c r="C16" s="66">
        <f>Electromecánica!C16+Alimentarias!C16+Innovación!C16+Administración!C16+Investigación!C16+'Desarrollo Academico CEIN'!C16+'Servicios Escolares'!C16+Vinculación!C16+Planeación!C16+Calidad!C16+'Administración Recursos'!C16</f>
        <v>80841</v>
      </c>
      <c r="D16" s="66">
        <f>Electromecánica!D16+Alimentarias!D16+Innovación!D16+Administración!D16+Investigación!D16+'Desarrollo Academico CEIN'!D16+'Servicios Escolares'!D16+Vinculación!D16+Planeación!D16+Calidad!D16+'Administración Recursos'!D16</f>
        <v>124328</v>
      </c>
      <c r="E16" s="66">
        <f>Electromecánica!E16+Alimentarias!E16+Innovación!E16+Administración!E16+Investigación!E16+'Desarrollo Academico CEIN'!E16+'Servicios Escolares'!E16+Vinculación!E16+Planeación!E16+Calidad!E16+'Administración Recursos'!E16</f>
        <v>0</v>
      </c>
      <c r="F16" s="66">
        <f>Electromecánica!F16+Alimentarias!F16+Innovación!F16+Administración!F16+Investigación!F16+'Desarrollo Academico CEIN'!F16+'Servicios Escolares'!F16+Vinculación!F16+Planeación!F16+Calidad!F16+'Administración Recursos'!F16</f>
        <v>0</v>
      </c>
      <c r="G16" s="66">
        <f>Electromecánica!G16+Alimentarias!G16+Innovación!G16+Administración!G16+Investigación!G16+'Desarrollo Academico CEIN'!G16+'Servicios Escolares'!G16+Vinculación!G16+Planeación!G16+Calidad!G16+'Administración Recursos'!G16</f>
        <v>0</v>
      </c>
      <c r="H16" s="121">
        <f t="shared" si="0"/>
        <v>205169</v>
      </c>
      <c r="J16" s="187">
        <f>H16-'PE-PARTIDA'!H16</f>
        <v>0</v>
      </c>
    </row>
    <row r="17" spans="1:10" x14ac:dyDescent="0.25">
      <c r="A17" s="1">
        <f>'Administración Recursos'!A17</f>
        <v>1543</v>
      </c>
      <c r="B17" s="175" t="str">
        <f>'Administración Recursos'!B17</f>
        <v>Estímulos al personal</v>
      </c>
      <c r="C17" s="66">
        <f>Electromecánica!C17+Alimentarias!C17+Innovación!C17+Administración!C17+Investigación!C17+'Desarrollo Academico CEIN'!C17+'Servicios Escolares'!C17+Vinculación!C17+Planeación!C17+Calidad!C17+'Administración Recursos'!C17</f>
        <v>96897</v>
      </c>
      <c r="D17" s="66">
        <f>Electromecánica!D17+Alimentarias!D17+Innovación!D17+Administración!D17+Investigación!D17+'Desarrollo Academico CEIN'!D17+'Servicios Escolares'!D17+Vinculación!D17+Planeación!D17+Calidad!D17+'Administración Recursos'!D17</f>
        <v>296897</v>
      </c>
      <c r="E17" s="66">
        <f>Electromecánica!E17+Alimentarias!E17+Innovación!E17+Administración!E17+Investigación!E17+'Desarrollo Academico CEIN'!E17+'Servicios Escolares'!E17+Vinculación!E17+Planeación!E17+Calidad!E17+'Administración Recursos'!E17</f>
        <v>0</v>
      </c>
      <c r="F17" s="66">
        <f>Electromecánica!F17+Alimentarias!F17+Innovación!F17+Administración!F17+Investigación!F17+'Desarrollo Academico CEIN'!F17+'Servicios Escolares'!F17+Vinculación!F17+Planeación!F17+Calidad!F17+'Administración Recursos'!F17</f>
        <v>0</v>
      </c>
      <c r="G17" s="66">
        <f>Electromecánica!G17+Alimentarias!G17+Innovación!G17+Administración!G17+Investigación!G17+'Desarrollo Academico CEIN'!G17+'Servicios Escolares'!G17+Vinculación!G17+Planeación!G17+Calidad!G17+'Administración Recursos'!G17</f>
        <v>0</v>
      </c>
      <c r="H17" s="121">
        <f t="shared" si="0"/>
        <v>393794</v>
      </c>
      <c r="J17" s="187">
        <f>H17-'PE-PARTIDA'!H17</f>
        <v>0</v>
      </c>
    </row>
    <row r="18" spans="1:10" x14ac:dyDescent="0.25">
      <c r="A18" s="1">
        <f>'Administración Recursos'!A18</f>
        <v>1712</v>
      </c>
      <c r="B18" s="175" t="str">
        <f>'Administración Recursos'!B18</f>
        <v>Ayuda para despensa</v>
      </c>
      <c r="C18" s="66">
        <f>Electromecánica!C18+Alimentarias!C18+Innovación!C18+Administración!C18+Investigación!C18+'Desarrollo Academico CEIN'!C18+'Servicios Escolares'!C18+Vinculación!C18+Planeación!C18+Calidad!C18+'Administración Recursos'!C18</f>
        <v>457948</v>
      </c>
      <c r="D18" s="66">
        <f>Electromecánica!D18+Alimentarias!D18+Innovación!D18+Administración!D18+Investigación!D18+'Desarrollo Academico CEIN'!D18+'Servicios Escolares'!D18+Vinculación!D18+Planeación!D18+Calidad!D18+'Administración Recursos'!D18</f>
        <v>407948</v>
      </c>
      <c r="E18" s="66">
        <f>Electromecánica!E18+Alimentarias!E18+Innovación!E18+Administración!E18+Investigación!E18+'Desarrollo Academico CEIN'!E18+'Servicios Escolares'!E18+Vinculación!E18+Planeación!E18+Calidad!E18+'Administración Recursos'!E18</f>
        <v>0</v>
      </c>
      <c r="F18" s="66">
        <f>Electromecánica!F18+Alimentarias!F18+Innovación!F18+Administración!F18+Investigación!F18+'Desarrollo Academico CEIN'!F18+'Servicios Escolares'!F18+Vinculación!F18+Planeación!F18+Calidad!F18+'Administración Recursos'!F18</f>
        <v>0</v>
      </c>
      <c r="G18" s="66">
        <f>Electromecánica!G18+Alimentarias!G18+Innovación!G18+Administración!G18+Investigación!G18+'Desarrollo Academico CEIN'!G18+'Servicios Escolares'!G18+Vinculación!G18+Planeación!G18+Calidad!G18+'Administración Recursos'!G18</f>
        <v>0</v>
      </c>
      <c r="H18" s="121">
        <f t="shared" si="0"/>
        <v>865896</v>
      </c>
      <c r="J18" s="187">
        <f>H18-'PE-PARTIDA'!H18</f>
        <v>0</v>
      </c>
    </row>
    <row r="19" spans="1:10" x14ac:dyDescent="0.25">
      <c r="A19" s="1">
        <f>'Administración Recursos'!A19</f>
        <v>1715</v>
      </c>
      <c r="B19" s="175" t="str">
        <f>'Administración Recursos'!B19</f>
        <v>Estímulo por el día del servidor público</v>
      </c>
      <c r="C19" s="66">
        <f>Electromecánica!C19+Alimentarias!C19+Innovación!C19+Administración!C19+Investigación!C19+'Desarrollo Academico CEIN'!C19+'Servicios Escolares'!C19+Vinculación!C19+Planeación!C19+Calidad!C19+'Administración Recursos'!C19</f>
        <v>518036</v>
      </c>
      <c r="D19" s="66">
        <f>Electromecánica!D19+Alimentarias!D19+Innovación!D19+Administración!D19+Investigación!D19+'Desarrollo Academico CEIN'!D19+'Servicios Escolares'!D19+Vinculación!D19+Planeación!D19+Calidad!D19+'Administración Recursos'!D19</f>
        <v>0</v>
      </c>
      <c r="E19" s="66">
        <f>Electromecánica!E19+Alimentarias!E19+Innovación!E19+Administración!E19+Investigación!E19+'Desarrollo Academico CEIN'!E19+'Servicios Escolares'!E19+Vinculación!E19+Planeación!E19+Calidad!E19+'Administración Recursos'!E19</f>
        <v>0</v>
      </c>
      <c r="F19" s="66">
        <f>Electromecánica!F19+Alimentarias!F19+Innovación!F19+Administración!F19+Investigación!F19+'Desarrollo Academico CEIN'!F19+'Servicios Escolares'!F19+Vinculación!F19+Planeación!F19+Calidad!F19+'Administración Recursos'!F19</f>
        <v>0</v>
      </c>
      <c r="G19" s="66">
        <f>Electromecánica!G19+Alimentarias!G19+Innovación!G19+Administración!G19+Investigación!G19+'Desarrollo Academico CEIN'!G19+'Servicios Escolares'!G19+Vinculación!G19+Planeación!G19+Calidad!G19+'Administración Recursos'!G19</f>
        <v>0</v>
      </c>
      <c r="H19" s="121">
        <f t="shared" si="0"/>
        <v>518036</v>
      </c>
      <c r="J19" s="187">
        <f>H19-'PE-PARTIDA'!H19</f>
        <v>0</v>
      </c>
    </row>
    <row r="20" spans="1:10" x14ac:dyDescent="0.25">
      <c r="A20" s="1">
        <f>'Administración Recursos'!A20</f>
        <v>1719</v>
      </c>
      <c r="B20" s="175" t="str">
        <f>'Administración Recursos'!B20</f>
        <v>Otros estímulos</v>
      </c>
      <c r="C20" s="66">
        <f>Electromecánica!C20+Alimentarias!C20+Innovación!C20+Administración!C20+Investigación!C20+'Desarrollo Academico CEIN'!C20+'Servicios Escolares'!C20+Vinculación!C20+Planeación!C20+Calidad!C20+'Administración Recursos'!C20</f>
        <v>159402</v>
      </c>
      <c r="D20" s="66">
        <f>Electromecánica!D20+Alimentarias!D20+Innovación!D20+Administración!D20+Investigación!D20+'Desarrollo Academico CEIN'!D20+'Servicios Escolares'!D20+Vinculación!D20+Planeación!D20+Calidad!D20+'Administración Recursos'!D20</f>
        <v>280000</v>
      </c>
      <c r="E20" s="66">
        <f>Electromecánica!E20+Alimentarias!E20+Innovación!E20+Administración!E20+Investigación!E20+'Desarrollo Academico CEIN'!E20+'Servicios Escolares'!E20+Vinculación!E20+Planeación!E20+Calidad!E20+'Administración Recursos'!E20</f>
        <v>30000</v>
      </c>
      <c r="F20" s="66">
        <f>Electromecánica!F20+Alimentarias!F20+Innovación!F20+Administración!F20+Investigación!F20+'Desarrollo Academico CEIN'!F20+'Servicios Escolares'!F20+Vinculación!F20+Planeación!F20+Calidad!F20+'Administración Recursos'!F20</f>
        <v>0</v>
      </c>
      <c r="G20" s="66">
        <f>Electromecánica!G20+Alimentarias!G20+Innovación!G20+Administración!G20+Investigación!G20+'Desarrollo Academico CEIN'!G20+'Servicios Escolares'!G20+Vinculación!G20+Planeación!G20+Calidad!G20+'Administración Recursos'!G20</f>
        <v>0</v>
      </c>
      <c r="H20" s="121">
        <f t="shared" si="0"/>
        <v>469402</v>
      </c>
      <c r="J20" s="187">
        <f>H20-'PE-PARTIDA'!H20</f>
        <v>0</v>
      </c>
    </row>
    <row r="21" spans="1:10" x14ac:dyDescent="0.25">
      <c r="A21" s="1"/>
      <c r="C21" s="176">
        <f>SUM(C8:C20)</f>
        <v>6729055</v>
      </c>
      <c r="D21" s="176">
        <f>SUM(D8:D20)</f>
        <v>9594449</v>
      </c>
      <c r="E21" s="176">
        <f t="shared" ref="E21:G21" si="1">SUM(E8:E20)</f>
        <v>53000</v>
      </c>
      <c r="F21" s="176">
        <f t="shared" si="1"/>
        <v>0</v>
      </c>
      <c r="G21" s="176">
        <f t="shared" si="1"/>
        <v>0</v>
      </c>
      <c r="H21" s="178">
        <f t="shared" si="0"/>
        <v>16376504</v>
      </c>
      <c r="J21" s="187"/>
    </row>
    <row r="22" spans="1:10" x14ac:dyDescent="0.25">
      <c r="A22" s="1"/>
      <c r="J22" s="187">
        <f>H22-'PE-PARTIDA'!H22</f>
        <v>0</v>
      </c>
    </row>
    <row r="23" spans="1:10" x14ac:dyDescent="0.25">
      <c r="A23" s="1">
        <f>'Administración Recursos'!A23</f>
        <v>2111</v>
      </c>
      <c r="B23" s="175" t="str">
        <f>'Administración Recursos'!B23</f>
        <v>Materiales, útiles y equipos menores de oficina</v>
      </c>
      <c r="C23" s="66">
        <f>Electromecánica!C23+Alimentarias!C23+Innovación!C23+Administración!C23+Investigación!C23+'Desarrollo Academico CEIN'!C23+'Servicios Escolares'!C23+Vinculación!C23+Planeación!C23+Calidad!C23+'Administración Recursos'!C23</f>
        <v>0</v>
      </c>
      <c r="D23" s="66">
        <f>Electromecánica!D23+Alimentarias!D23+Innovación!D23+Administración!D23+Investigación!D23+'Desarrollo Academico CEIN'!D23+'Servicios Escolares'!D23+Vinculación!D23+Planeación!D23+Calidad!D23+'Administración Recursos'!D23</f>
        <v>70000</v>
      </c>
      <c r="E23" s="66">
        <f>Electromecánica!E23+Alimentarias!E23+Innovación!E23+Administración!E23+Investigación!E23+'Desarrollo Academico CEIN'!E23+'Servicios Escolares'!E23+Vinculación!E23+Planeación!E23+Calidad!E23+'Administración Recursos'!E23</f>
        <v>10000</v>
      </c>
      <c r="F23" s="66">
        <f>Electromecánica!F23+Alimentarias!F23+Innovación!F23+Administración!F23+Investigación!F23+'Desarrollo Academico CEIN'!F23+'Servicios Escolares'!F23+Vinculación!F23+Planeación!F23+Calidad!F23+'Administración Recursos'!F23</f>
        <v>0</v>
      </c>
      <c r="G23" s="66">
        <f>Electromecánica!G23+Alimentarias!G23+Innovación!G23+Administración!G23+Investigación!G23+'Desarrollo Academico CEIN'!G23+'Servicios Escolares'!G23+Vinculación!G23+Planeación!G23+Calidad!G23+'Administración Recursos'!G23</f>
        <v>0</v>
      </c>
      <c r="H23" s="121">
        <f t="shared" ref="H23" si="2">SUM(C23:G23)</f>
        <v>80000</v>
      </c>
      <c r="J23" s="187">
        <f>H23-'PE-PARTIDA'!H23</f>
        <v>0</v>
      </c>
    </row>
    <row r="24" spans="1:10" ht="30" x14ac:dyDescent="0.25">
      <c r="A24" s="1">
        <f>'Administración Recursos'!A24</f>
        <v>2141</v>
      </c>
      <c r="B24" s="175" t="str">
        <f>'Administración Recursos'!B24</f>
        <v>Materiales, útiles y equipos menores de tecnologías de la información y comunicaciones</v>
      </c>
      <c r="C24" s="66">
        <f>Electromecánica!C24+Alimentarias!C24+Innovación!C24+Administración!C24+Investigación!C24+'Desarrollo Academico CEIN'!C24+'Servicios Escolares'!C24+Vinculación!C24+Planeación!C24+Calidad!C24+'Administración Recursos'!C24</f>
        <v>0</v>
      </c>
      <c r="D24" s="66">
        <f>Electromecánica!D24+Alimentarias!D24+Innovación!D24+Administración!D24+Investigación!D24+'Desarrollo Academico CEIN'!D24+'Servicios Escolares'!D24+Vinculación!D24+Planeación!D24+Calidad!D24+'Administración Recursos'!D24</f>
        <v>100000</v>
      </c>
      <c r="E24" s="66">
        <f>Electromecánica!E24+Alimentarias!E24+Innovación!E24+Administración!E24+Investigación!E24+'Desarrollo Academico CEIN'!E24+'Servicios Escolares'!E24+Vinculación!E24+Planeación!E24+Calidad!E24+'Administración Recursos'!E24</f>
        <v>0</v>
      </c>
      <c r="F24" s="66">
        <f>Electromecánica!F24+Alimentarias!F24+Innovación!F24+Administración!F24+Investigación!F24+'Desarrollo Academico CEIN'!F24+'Servicios Escolares'!F24+Vinculación!F24+Planeación!F24+Calidad!F24+'Administración Recursos'!F24</f>
        <v>0</v>
      </c>
      <c r="G24" s="66">
        <f>Electromecánica!G24+Alimentarias!G24+Innovación!G24+Administración!G24+Investigación!G24+'Desarrollo Academico CEIN'!G24+'Servicios Escolares'!G24+Vinculación!G24+Planeación!G24+Calidad!G24+'Administración Recursos'!G24</f>
        <v>0</v>
      </c>
      <c r="H24" s="121">
        <f t="shared" ref="H24:H62" si="3">SUM(C24:G24)</f>
        <v>100000</v>
      </c>
      <c r="J24" s="187">
        <f>H24-'PE-PARTIDA'!H24</f>
        <v>0</v>
      </c>
    </row>
    <row r="25" spans="1:10" x14ac:dyDescent="0.25">
      <c r="A25" s="1">
        <f>'Administración Recursos'!A25</f>
        <v>2151</v>
      </c>
      <c r="B25" s="175" t="str">
        <f>'Administración Recursos'!B25</f>
        <v>Material impreso e información digital</v>
      </c>
      <c r="C25" s="66">
        <f>Electromecánica!C25+Alimentarias!C25+Innovación!C25+Administración!C25+Investigación!C25+'Desarrollo Academico CEIN'!C25+'Servicios Escolares'!C25+Vinculación!C25+Planeación!C25+Calidad!C25+'Administración Recursos'!C25</f>
        <v>0</v>
      </c>
      <c r="D25" s="66">
        <f>Electromecánica!D25+Alimentarias!D25+Innovación!D25+Administración!D25+Investigación!D25+'Desarrollo Academico CEIN'!D25+'Servicios Escolares'!D25+Vinculación!D25+Planeación!D25+Calidad!D25+'Administración Recursos'!D25</f>
        <v>245000</v>
      </c>
      <c r="E25" s="66">
        <f>Electromecánica!E25+Alimentarias!E25+Innovación!E25+Administración!E25+Investigación!E25+'Desarrollo Academico CEIN'!E25+'Servicios Escolares'!E25+Vinculación!E25+Planeación!E25+Calidad!E25+'Administración Recursos'!E25</f>
        <v>0</v>
      </c>
      <c r="F25" s="66">
        <f>Electromecánica!F25+Alimentarias!F25+Innovación!F25+Administración!F25+Investigación!F25+'Desarrollo Academico CEIN'!F25+'Servicios Escolares'!F25+Vinculación!F25+Planeación!F25+Calidad!F25+'Administración Recursos'!F25</f>
        <v>0</v>
      </c>
      <c r="G25" s="66">
        <f>Electromecánica!G25+Alimentarias!G25+Innovación!G25+Administración!G25+Investigación!G25+'Desarrollo Academico CEIN'!G25+'Servicios Escolares'!G25+Vinculación!G25+Planeación!G25+Calidad!G25+'Administración Recursos'!G25</f>
        <v>0</v>
      </c>
      <c r="H25" s="121">
        <f t="shared" si="3"/>
        <v>245000</v>
      </c>
      <c r="J25" s="187">
        <f>H25-'PE-PARTIDA'!H25</f>
        <v>0</v>
      </c>
    </row>
    <row r="26" spans="1:10" x14ac:dyDescent="0.25">
      <c r="A26" s="1">
        <f>'Administración Recursos'!A26</f>
        <v>2161</v>
      </c>
      <c r="B26" s="175" t="str">
        <f>'Administración Recursos'!B26</f>
        <v>Material de limpieza</v>
      </c>
      <c r="C26" s="66">
        <f>Electromecánica!C26+Alimentarias!C26+Innovación!C26+Administración!C26+Investigación!C26+'Desarrollo Academico CEIN'!C26+'Servicios Escolares'!C26+Vinculación!C26+Planeación!C26+Calidad!C26+'Administración Recursos'!C26</f>
        <v>0</v>
      </c>
      <c r="D26" s="66">
        <f>Electromecánica!D26+Alimentarias!D26+Innovación!D26+Administración!D26+Investigación!D26+'Desarrollo Academico CEIN'!D26+'Servicios Escolares'!D26+Vinculación!D26+Planeación!D26+Calidad!D26+'Administración Recursos'!D26</f>
        <v>100000</v>
      </c>
      <c r="E26" s="66">
        <f>Electromecánica!E26+Alimentarias!E26+Innovación!E26+Administración!E26+Investigación!E26+'Desarrollo Academico CEIN'!E26+'Servicios Escolares'!E26+Vinculación!E26+Planeación!E26+Calidad!E26+'Administración Recursos'!E26</f>
        <v>10000</v>
      </c>
      <c r="F26" s="66">
        <f>Electromecánica!F26+Alimentarias!F26+Innovación!F26+Administración!F26+Investigación!F26+'Desarrollo Academico CEIN'!F26+'Servicios Escolares'!F26+Vinculación!F26+Planeación!F26+Calidad!F26+'Administración Recursos'!F26</f>
        <v>0</v>
      </c>
      <c r="G26" s="66">
        <f>Electromecánica!G26+Alimentarias!G26+Innovación!G26+Administración!G26+Investigación!G26+'Desarrollo Academico CEIN'!G26+'Servicios Escolares'!G26+Vinculación!G26+Planeación!G26+Calidad!G26+'Administración Recursos'!G26</f>
        <v>0</v>
      </c>
      <c r="H26" s="121">
        <f t="shared" si="3"/>
        <v>110000</v>
      </c>
      <c r="J26" s="187">
        <f>H26-'PE-PARTIDA'!H26</f>
        <v>0</v>
      </c>
    </row>
    <row r="27" spans="1:10" x14ac:dyDescent="0.25">
      <c r="A27" s="1">
        <f>'Administración Recursos'!A27</f>
        <v>2171</v>
      </c>
      <c r="B27" s="175" t="str">
        <f>'Administración Recursos'!B27</f>
        <v>Materiales y utiles de enseñanza</v>
      </c>
      <c r="C27" s="66">
        <f>Electromecánica!C27+Alimentarias!C27+Innovación!C27+Administración!C27+Investigación!C27+'Desarrollo Academico CEIN'!C27+'Servicios Escolares'!C27+Vinculación!C27+Planeación!C27+Calidad!C27+'Administración Recursos'!C27</f>
        <v>0</v>
      </c>
      <c r="D27" s="66">
        <f>Electromecánica!D27+Alimentarias!D27+Innovación!D27+Administración!D27+Investigación!D27+'Desarrollo Academico CEIN'!D27+'Servicios Escolares'!D27+Vinculación!D27+Planeación!D27+Calidad!D27+'Administración Recursos'!D27</f>
        <v>1500</v>
      </c>
      <c r="E27" s="66">
        <f>Electromecánica!E27+Alimentarias!E27+Innovación!E27+Administración!E27+Investigación!E27+'Desarrollo Academico CEIN'!E27+'Servicios Escolares'!E27+Vinculación!E27+Planeación!E27+Calidad!E27+'Administración Recursos'!E27</f>
        <v>0</v>
      </c>
      <c r="F27" s="66">
        <f>Electromecánica!F27+Alimentarias!F27+Innovación!F27+Administración!F27+Investigación!F27+'Desarrollo Academico CEIN'!F27+'Servicios Escolares'!F27+Vinculación!F27+Planeación!F27+Calidad!F27+'Administración Recursos'!F27</f>
        <v>0</v>
      </c>
      <c r="G27" s="66">
        <f>Electromecánica!G27+Alimentarias!G27+Innovación!G27+Administración!G27+Investigación!G27+'Desarrollo Academico CEIN'!G27+'Servicios Escolares'!G27+Vinculación!G27+Planeación!G27+Calidad!G27+'Administración Recursos'!G27</f>
        <v>0</v>
      </c>
      <c r="H27" s="121">
        <f t="shared" si="3"/>
        <v>1500</v>
      </c>
      <c r="J27" s="187">
        <f>H27-'PE-PARTIDA'!H27</f>
        <v>0</v>
      </c>
    </row>
    <row r="28" spans="1:10" ht="60" x14ac:dyDescent="0.25">
      <c r="A28" s="1">
        <f>'Administración Recursos'!A28</f>
        <v>2212</v>
      </c>
      <c r="B28" s="175" t="str">
        <f>'Administración Recursos'!B28</f>
        <v>Productos alimenticios para personas derivado de la prestacion de servicios publicos en unidades de salud, educativas, de readaptacion social y otras</v>
      </c>
      <c r="C28" s="66">
        <f>Electromecánica!C28+Alimentarias!C28+Innovación!C28+Administración!C28+Investigación!C28+'Desarrollo Academico CEIN'!C28+'Servicios Escolares'!C28+Vinculación!C28+Planeación!C28+Calidad!C28+'Administración Recursos'!C28</f>
        <v>0</v>
      </c>
      <c r="D28" s="66">
        <f>Electromecánica!D28+Alimentarias!D28+Innovación!D28+Administración!D28+Investigación!D28+'Desarrollo Academico CEIN'!D28+'Servicios Escolares'!D28+Vinculación!D28+Planeación!D28+Calidad!D28+'Administración Recursos'!D28</f>
        <v>100000</v>
      </c>
      <c r="E28" s="66">
        <f>Electromecánica!E28+Alimentarias!E28+Innovación!E28+Administración!E28+Investigación!E28+'Desarrollo Academico CEIN'!E28+'Servicios Escolares'!E28+Vinculación!E28+Planeación!E28+Calidad!E28+'Administración Recursos'!E28</f>
        <v>0</v>
      </c>
      <c r="F28" s="66">
        <f>Electromecánica!F28+Alimentarias!F28+Innovación!F28+Administración!F28+Investigación!F28+'Desarrollo Academico CEIN'!F28+'Servicios Escolares'!F28+Vinculación!F28+Planeación!F28+Calidad!F28+'Administración Recursos'!F28</f>
        <v>0</v>
      </c>
      <c r="G28" s="66">
        <f>Electromecánica!G28+Alimentarias!G28+Innovación!G28+Administración!G28+Investigación!G28+'Desarrollo Academico CEIN'!G28+'Servicios Escolares'!G28+Vinculación!G28+Planeación!G28+Calidad!G28+'Administración Recursos'!G28</f>
        <v>0</v>
      </c>
      <c r="H28" s="121">
        <f t="shared" si="3"/>
        <v>100000</v>
      </c>
      <c r="J28" s="187">
        <f>H28-'PE-PARTIDA'!H28</f>
        <v>0</v>
      </c>
    </row>
    <row r="29" spans="1:10" x14ac:dyDescent="0.25">
      <c r="A29" s="1">
        <f>'Administración Recursos'!A29</f>
        <v>2221</v>
      </c>
      <c r="B29" s="175" t="str">
        <f>'Administración Recursos'!B29</f>
        <v>Productos alimenticios para animales</v>
      </c>
      <c r="C29" s="66">
        <f>Electromecánica!C29+Alimentarias!C29+Innovación!C29+Administración!C29+Investigación!C29+'Desarrollo Academico CEIN'!C29+'Servicios Escolares'!C29+Vinculación!C29+Planeación!C29+Calidad!C29+'Administración Recursos'!C29</f>
        <v>0</v>
      </c>
      <c r="D29" s="66">
        <f>Electromecánica!D29+Alimentarias!D29+Innovación!D29+Administración!D29+Investigación!D29+'Desarrollo Academico CEIN'!D29+'Servicios Escolares'!D29+Vinculación!D29+Planeación!D29+Calidad!D29+'Administración Recursos'!D29</f>
        <v>6000</v>
      </c>
      <c r="E29" s="66">
        <f>Electromecánica!E29+Alimentarias!E29+Innovación!E29+Administración!E29+Investigación!E29+'Desarrollo Academico CEIN'!E29+'Servicios Escolares'!E29+Vinculación!E29+Planeación!E29+Calidad!E29+'Administración Recursos'!E29</f>
        <v>0</v>
      </c>
      <c r="F29" s="66">
        <f>Electromecánica!F29+Alimentarias!F29+Innovación!F29+Administración!F29+Investigación!F29+'Desarrollo Academico CEIN'!F29+'Servicios Escolares'!F29+Vinculación!F29+Planeación!F29+Calidad!F29+'Administración Recursos'!F29</f>
        <v>0</v>
      </c>
      <c r="G29" s="66">
        <f>Electromecánica!G29+Alimentarias!G29+Innovación!G29+Administración!G29+Investigación!G29+'Desarrollo Academico CEIN'!G29+'Servicios Escolares'!G29+Vinculación!G29+Planeación!G29+Calidad!G29+'Administración Recursos'!G29</f>
        <v>0</v>
      </c>
      <c r="H29" s="121">
        <f t="shared" si="3"/>
        <v>6000</v>
      </c>
      <c r="J29" s="187">
        <f>H29-'PE-PARTIDA'!H29</f>
        <v>0</v>
      </c>
    </row>
    <row r="30" spans="1:10" x14ac:dyDescent="0.25">
      <c r="A30" s="1">
        <f>'Administración Recursos'!A30</f>
        <v>2231</v>
      </c>
      <c r="B30" s="175" t="str">
        <f>'Administración Recursos'!B30</f>
        <v>Utensilios para el servicio de alimentación</v>
      </c>
      <c r="C30" s="66">
        <f>Electromecánica!C30+Alimentarias!C30+Innovación!C30+Administración!C30+Investigación!C30+'Desarrollo Academico CEIN'!C30+'Servicios Escolares'!C30+Vinculación!C30+Planeación!C30+Calidad!C30+'Administración Recursos'!C30</f>
        <v>0</v>
      </c>
      <c r="D30" s="66">
        <f>Electromecánica!D30+Alimentarias!D30+Innovación!D30+Administración!D30+Investigación!D30+'Desarrollo Academico CEIN'!D30+'Servicios Escolares'!D30+Vinculación!D30+Planeación!D30+Calidad!D30+'Administración Recursos'!D30</f>
        <v>0</v>
      </c>
      <c r="E30" s="66">
        <f>Electromecánica!E30+Alimentarias!E30+Innovación!E30+Administración!E30+Investigación!E30+'Desarrollo Academico CEIN'!E30+'Servicios Escolares'!E30+Vinculación!E30+Planeación!E30+Calidad!E30+'Administración Recursos'!E30</f>
        <v>0</v>
      </c>
      <c r="F30" s="66">
        <f>Electromecánica!F30+Alimentarias!F30+Innovación!F30+Administración!F30+Investigación!F30+'Desarrollo Academico CEIN'!F30+'Servicios Escolares'!F30+Vinculación!F30+Planeación!F30+Calidad!F30+'Administración Recursos'!F30</f>
        <v>7000</v>
      </c>
      <c r="G30" s="66">
        <f>Electromecánica!G30+Alimentarias!G30+Innovación!G30+Administración!G30+Investigación!G30+'Desarrollo Academico CEIN'!G30+'Servicios Escolares'!G30+Vinculación!G30+Planeación!G30+Calidad!G30+'Administración Recursos'!G30</f>
        <v>0</v>
      </c>
      <c r="H30" s="121">
        <f t="shared" si="3"/>
        <v>7000</v>
      </c>
      <c r="J30" s="187">
        <f>H30-'PE-PARTIDA'!H30</f>
        <v>0</v>
      </c>
    </row>
    <row r="31" spans="1:10" ht="30" x14ac:dyDescent="0.25">
      <c r="A31" s="1">
        <f>'Administración Recursos'!A31</f>
        <v>2311</v>
      </c>
      <c r="B31" s="175" t="str">
        <f>'Administración Recursos'!B31</f>
        <v>Productos alimenticios, agropecuarios y forestales adquiridos como materia  prima</v>
      </c>
      <c r="C31" s="66">
        <f>Electromecánica!C31+Alimentarias!C31+Innovación!C31+Administración!C31+Investigación!C31+'Desarrollo Academico CEIN'!C31+'Servicios Escolares'!C31+Vinculación!C31+Planeación!C31+Calidad!C31+'Administración Recursos'!C31</f>
        <v>0</v>
      </c>
      <c r="D31" s="66">
        <f>Electromecánica!D31+Alimentarias!D31+Innovación!D31+Administración!D31+Investigación!D31+'Desarrollo Academico CEIN'!D31+'Servicios Escolares'!D31+Vinculación!D31+Planeación!D31+Calidad!D31+'Administración Recursos'!D31</f>
        <v>17000</v>
      </c>
      <c r="E31" s="66">
        <f>Electromecánica!E31+Alimentarias!E31+Innovación!E31+Administración!E31+Investigación!E31+'Desarrollo Academico CEIN'!E31+'Servicios Escolares'!E31+Vinculación!E31+Planeación!E31+Calidad!E31+'Administración Recursos'!E31</f>
        <v>0</v>
      </c>
      <c r="F31" s="66">
        <f>Electromecánica!F31+Alimentarias!F31+Innovación!F31+Administración!F31+Investigación!F31+'Desarrollo Academico CEIN'!F31+'Servicios Escolares'!F31+Vinculación!F31+Planeación!F31+Calidad!F31+'Administración Recursos'!F31</f>
        <v>0</v>
      </c>
      <c r="G31" s="66">
        <f>Electromecánica!G31+Alimentarias!G31+Innovación!G31+Administración!G31+Investigación!G31+'Desarrollo Academico CEIN'!G31+'Servicios Escolares'!G31+Vinculación!G31+Planeación!G31+Calidad!G31+'Administración Recursos'!G31</f>
        <v>0</v>
      </c>
      <c r="H31" s="121">
        <f t="shared" si="3"/>
        <v>17000</v>
      </c>
      <c r="J31" s="187">
        <f>H31-'PE-PARTIDA'!H31</f>
        <v>0</v>
      </c>
    </row>
    <row r="32" spans="1:10" x14ac:dyDescent="0.25">
      <c r="A32" s="1">
        <f>'Administración Recursos'!A32</f>
        <v>2411</v>
      </c>
      <c r="B32" s="175" t="str">
        <f>'Administración Recursos'!B32</f>
        <v>Productos minerales no metálicos</v>
      </c>
      <c r="C32" s="66">
        <f>Electromecánica!C32+Alimentarias!C32+Innovación!C32+Administración!C32+Investigación!C32+'Desarrollo Academico CEIN'!C32+'Servicios Escolares'!C32+Vinculación!C32+Planeación!C32+Calidad!C32+'Administración Recursos'!C32</f>
        <v>0</v>
      </c>
      <c r="D32" s="66">
        <f>Electromecánica!D32+Alimentarias!D32+Innovación!D32+Administración!D32+Investigación!D32+'Desarrollo Academico CEIN'!D32+'Servicios Escolares'!D32+Vinculación!D32+Planeación!D32+Calidad!D32+'Administración Recursos'!D32</f>
        <v>0</v>
      </c>
      <c r="E32" s="66">
        <f>Electromecánica!E32+Alimentarias!E32+Innovación!E32+Administración!E32+Investigación!E32+'Desarrollo Academico CEIN'!E32+'Servicios Escolares'!E32+Vinculación!E32+Planeación!E32+Calidad!E32+'Administración Recursos'!E32</f>
        <v>0</v>
      </c>
      <c r="F32" s="66">
        <f>Electromecánica!F32+Alimentarias!F32+Innovación!F32+Administración!F32+Investigación!F32+'Desarrollo Academico CEIN'!F32+'Servicios Escolares'!F32+Vinculación!F32+Planeación!F32+Calidad!F32+'Administración Recursos'!F32</f>
        <v>10000</v>
      </c>
      <c r="G32" s="66">
        <f>Electromecánica!G32+Alimentarias!G32+Innovación!G32+Administración!G32+Investigación!G32+'Desarrollo Academico CEIN'!G32+'Servicios Escolares'!G32+Vinculación!G32+Planeación!G32+Calidad!G32+'Administración Recursos'!G32</f>
        <v>0</v>
      </c>
      <c r="H32" s="121">
        <f t="shared" si="3"/>
        <v>10000</v>
      </c>
      <c r="J32" s="187">
        <f>H32-'PE-PARTIDA'!H32</f>
        <v>0</v>
      </c>
    </row>
    <row r="33" spans="1:10" x14ac:dyDescent="0.25">
      <c r="A33" s="1">
        <f>'Administración Recursos'!A33</f>
        <v>2421</v>
      </c>
      <c r="B33" s="175" t="str">
        <f>'Administración Recursos'!B33</f>
        <v>Cemento y productos de concreto</v>
      </c>
      <c r="C33" s="66">
        <f>Electromecánica!C33+Alimentarias!C33+Innovación!C33+Administración!C33+Investigación!C33+'Desarrollo Academico CEIN'!C33+'Servicios Escolares'!C33+Vinculación!C33+Planeación!C33+Calidad!C33+'Administración Recursos'!C33</f>
        <v>0</v>
      </c>
      <c r="D33" s="66">
        <f>Electromecánica!D33+Alimentarias!D33+Innovación!D33+Administración!D33+Investigación!D33+'Desarrollo Academico CEIN'!D33+'Servicios Escolares'!D33+Vinculación!D33+Planeación!D33+Calidad!D33+'Administración Recursos'!D33</f>
        <v>500</v>
      </c>
      <c r="E33" s="66">
        <f>Electromecánica!E33+Alimentarias!E33+Innovación!E33+Administración!E33+Investigación!E33+'Desarrollo Academico CEIN'!E33+'Servicios Escolares'!E33+Vinculación!E33+Planeación!E33+Calidad!E33+'Administración Recursos'!E33</f>
        <v>0</v>
      </c>
      <c r="F33" s="66">
        <f>Electromecánica!F33+Alimentarias!F33+Innovación!F33+Administración!F33+Investigación!F33+'Desarrollo Academico CEIN'!F33+'Servicios Escolares'!F33+Vinculación!F33+Planeación!F33+Calidad!F33+'Administración Recursos'!F33</f>
        <v>0</v>
      </c>
      <c r="G33" s="66">
        <f>Electromecánica!G33+Alimentarias!G33+Innovación!G33+Administración!G33+Investigación!G33+'Desarrollo Academico CEIN'!G33+'Servicios Escolares'!G33+Vinculación!G33+Planeación!G33+Calidad!G33+'Administración Recursos'!G33</f>
        <v>0</v>
      </c>
      <c r="H33" s="121">
        <f t="shared" si="3"/>
        <v>500</v>
      </c>
      <c r="J33" s="187">
        <f>H33-'PE-PARTIDA'!H33</f>
        <v>0</v>
      </c>
    </row>
    <row r="34" spans="1:10" x14ac:dyDescent="0.25">
      <c r="A34" s="1">
        <f>'Administración Recursos'!A34</f>
        <v>2431</v>
      </c>
      <c r="B34" s="175" t="str">
        <f>'Administración Recursos'!B34</f>
        <v>Cal, yeso y productos de yeso</v>
      </c>
      <c r="C34" s="66">
        <f>Electromecánica!C34+Alimentarias!C34+Innovación!C34+Administración!C34+Investigación!C34+'Desarrollo Academico CEIN'!C34+'Servicios Escolares'!C34+Vinculación!C34+Planeación!C34+Calidad!C34+'Administración Recursos'!C34</f>
        <v>0</v>
      </c>
      <c r="D34" s="66">
        <f>Electromecánica!D34+Alimentarias!D34+Innovación!D34+Administración!D34+Investigación!D34+'Desarrollo Academico CEIN'!D34+'Servicios Escolares'!D34+Vinculación!D34+Planeación!D34+Calidad!D34+'Administración Recursos'!D34</f>
        <v>15000</v>
      </c>
      <c r="E34" s="66">
        <f>Electromecánica!E34+Alimentarias!E34+Innovación!E34+Administración!E34+Investigación!E34+'Desarrollo Academico CEIN'!E34+'Servicios Escolares'!E34+Vinculación!E34+Planeación!E34+Calidad!E34+'Administración Recursos'!E34</f>
        <v>0</v>
      </c>
      <c r="F34" s="66">
        <f>Electromecánica!F34+Alimentarias!F34+Innovación!F34+Administración!F34+Investigación!F34+'Desarrollo Academico CEIN'!F34+'Servicios Escolares'!F34+Vinculación!F34+Planeación!F34+Calidad!F34+'Administración Recursos'!F34</f>
        <v>0</v>
      </c>
      <c r="G34" s="66">
        <f>Electromecánica!G34+Alimentarias!G34+Innovación!G34+Administración!G34+Investigación!G34+'Desarrollo Academico CEIN'!G34+'Servicios Escolares'!G34+Vinculación!G34+Planeación!G34+Calidad!G34+'Administración Recursos'!G34</f>
        <v>0</v>
      </c>
      <c r="H34" s="121">
        <f t="shared" si="3"/>
        <v>15000</v>
      </c>
      <c r="J34" s="187">
        <f>H34-'PE-PARTIDA'!H34</f>
        <v>0</v>
      </c>
    </row>
    <row r="35" spans="1:10" x14ac:dyDescent="0.25">
      <c r="A35" s="1">
        <f>'Administración Recursos'!A35</f>
        <v>2441</v>
      </c>
      <c r="B35" s="175" t="str">
        <f>'Administración Recursos'!B35</f>
        <v>Madera y productos de madera</v>
      </c>
      <c r="C35" s="66">
        <f>Electromecánica!C35+Alimentarias!C35+Innovación!C35+Administración!C35+Investigación!C35+'Desarrollo Academico CEIN'!C35+'Servicios Escolares'!C35+Vinculación!C35+Planeación!C35+Calidad!C35+'Administración Recursos'!C35</f>
        <v>0</v>
      </c>
      <c r="D35" s="66">
        <f>Electromecánica!D35+Alimentarias!D35+Innovación!D35+Administración!D35+Investigación!D35+'Desarrollo Academico CEIN'!D35+'Servicios Escolares'!D35+Vinculación!D35+Planeación!D35+Calidad!D35+'Administración Recursos'!D35</f>
        <v>0</v>
      </c>
      <c r="E35" s="66">
        <f>Electromecánica!E35+Alimentarias!E35+Innovación!E35+Administración!E35+Investigación!E35+'Desarrollo Academico CEIN'!E35+'Servicios Escolares'!E35+Vinculación!E35+Planeación!E35+Calidad!E35+'Administración Recursos'!E35</f>
        <v>5000</v>
      </c>
      <c r="F35" s="66">
        <f>Electromecánica!F35+Alimentarias!F35+Innovación!F35+Administración!F35+Investigación!F35+'Desarrollo Academico CEIN'!F35+'Servicios Escolares'!F35+Vinculación!F35+Planeación!F35+Calidad!F35+'Administración Recursos'!F35</f>
        <v>0</v>
      </c>
      <c r="G35" s="66">
        <f>Electromecánica!G35+Alimentarias!G35+Innovación!G35+Administración!G35+Investigación!G35+'Desarrollo Academico CEIN'!G35+'Servicios Escolares'!G35+Vinculación!G35+Planeación!G35+Calidad!G35+'Administración Recursos'!G35</f>
        <v>0</v>
      </c>
      <c r="H35" s="121">
        <f t="shared" si="3"/>
        <v>5000</v>
      </c>
      <c r="J35" s="187">
        <f>H35-'PE-PARTIDA'!H35</f>
        <v>0</v>
      </c>
    </row>
    <row r="36" spans="1:10" x14ac:dyDescent="0.25">
      <c r="A36" s="1">
        <f>'Administración Recursos'!A36</f>
        <v>2451</v>
      </c>
      <c r="B36" s="175" t="str">
        <f>'Administración Recursos'!B36</f>
        <v>Vidrio y productos de vidrio</v>
      </c>
      <c r="C36" s="66">
        <f>Electromecánica!C36+Alimentarias!C36+Innovación!C36+Administración!C36+Investigación!C36+'Desarrollo Academico CEIN'!C36+'Servicios Escolares'!C36+Vinculación!C36+Planeación!C36+Calidad!C36+'Administración Recursos'!C36</f>
        <v>0</v>
      </c>
      <c r="D36" s="66">
        <f>Electromecánica!D36+Alimentarias!D36+Innovación!D36+Administración!D36+Investigación!D36+'Desarrollo Academico CEIN'!D36+'Servicios Escolares'!D36+Vinculación!D36+Planeación!D36+Calidad!D36+'Administración Recursos'!D36</f>
        <v>7000</v>
      </c>
      <c r="E36" s="66">
        <f>Electromecánica!E36+Alimentarias!E36+Innovación!E36+Administración!E36+Investigación!E36+'Desarrollo Academico CEIN'!E36+'Servicios Escolares'!E36+Vinculación!E36+Planeación!E36+Calidad!E36+'Administración Recursos'!E36</f>
        <v>0</v>
      </c>
      <c r="F36" s="66">
        <f>Electromecánica!F36+Alimentarias!F36+Innovación!F36+Administración!F36+Investigación!F36+'Desarrollo Academico CEIN'!F36+'Servicios Escolares'!F36+Vinculación!F36+Planeación!F36+Calidad!F36+'Administración Recursos'!F36</f>
        <v>0</v>
      </c>
      <c r="G36" s="66">
        <f>Electromecánica!G36+Alimentarias!G36+Innovación!G36+Administración!G36+Investigación!G36+'Desarrollo Academico CEIN'!G36+'Servicios Escolares'!G36+Vinculación!G36+Planeación!G36+Calidad!G36+'Administración Recursos'!G36</f>
        <v>0</v>
      </c>
      <c r="H36" s="121">
        <f t="shared" si="3"/>
        <v>7000</v>
      </c>
      <c r="J36" s="187">
        <f>H36-'PE-PARTIDA'!H36</f>
        <v>0</v>
      </c>
    </row>
    <row r="37" spans="1:10" x14ac:dyDescent="0.25">
      <c r="A37" s="1">
        <f>'Administración Recursos'!A37</f>
        <v>2461</v>
      </c>
      <c r="B37" s="175" t="str">
        <f>'Administración Recursos'!B37</f>
        <v>Material eléctrico y electrónico</v>
      </c>
      <c r="C37" s="66">
        <f>Electromecánica!C37+Alimentarias!C37+Innovación!C37+Administración!C37+Investigación!C37+'Desarrollo Academico CEIN'!C37+'Servicios Escolares'!C37+Vinculación!C37+Planeación!C37+Calidad!C37+'Administración Recursos'!C37</f>
        <v>0</v>
      </c>
      <c r="D37" s="66">
        <f>Electromecánica!D37+Alimentarias!D37+Innovación!D37+Administración!D37+Investigación!D37+'Desarrollo Academico CEIN'!D37+'Servicios Escolares'!D37+Vinculación!D37+Planeación!D37+Calidad!D37+'Administración Recursos'!D37</f>
        <v>0</v>
      </c>
      <c r="E37" s="66">
        <f>Electromecánica!E37+Alimentarias!E37+Innovación!E37+Administración!E37+Investigación!E37+'Desarrollo Academico CEIN'!E37+'Servicios Escolares'!E37+Vinculación!E37+Planeación!E37+Calidad!E37+'Administración Recursos'!E37</f>
        <v>0</v>
      </c>
      <c r="F37" s="66">
        <f>Electromecánica!F37+Alimentarias!F37+Innovación!F37+Administración!F37+Investigación!F37+'Desarrollo Academico CEIN'!F37+'Servicios Escolares'!F37+Vinculación!F37+Planeación!F37+Calidad!F37+'Administración Recursos'!F37</f>
        <v>55000</v>
      </c>
      <c r="G37" s="66">
        <f>Electromecánica!G37+Alimentarias!G37+Innovación!G37+Administración!G37+Investigación!G37+'Desarrollo Academico CEIN'!G37+'Servicios Escolares'!G37+Vinculación!G37+Planeación!G37+Calidad!G37+'Administración Recursos'!G37</f>
        <v>0</v>
      </c>
      <c r="H37" s="121">
        <f t="shared" si="3"/>
        <v>55000</v>
      </c>
      <c r="J37" s="187">
        <f>H37-'PE-PARTIDA'!H37</f>
        <v>0</v>
      </c>
    </row>
    <row r="38" spans="1:10" x14ac:dyDescent="0.25">
      <c r="A38" s="1">
        <f>'Administración Recursos'!A38</f>
        <v>2471</v>
      </c>
      <c r="B38" s="175" t="str">
        <f>'Administración Recursos'!B38</f>
        <v>Artículos metálicos para la construcción</v>
      </c>
      <c r="C38" s="66">
        <f>Electromecánica!C38+Alimentarias!C38+Innovación!C38+Administración!C38+Investigación!C38+'Desarrollo Academico CEIN'!C38+'Servicios Escolares'!C38+Vinculación!C38+Planeación!C38+Calidad!C38+'Administración Recursos'!C38</f>
        <v>0</v>
      </c>
      <c r="D38" s="66">
        <f>Electromecánica!D38+Alimentarias!D38+Innovación!D38+Administración!D38+Investigación!D38+'Desarrollo Academico CEIN'!D38+'Servicios Escolares'!D38+Vinculación!D38+Planeación!D38+Calidad!D38+'Administración Recursos'!D38</f>
        <v>0</v>
      </c>
      <c r="E38" s="66">
        <f>Electromecánica!E38+Alimentarias!E38+Innovación!E38+Administración!E38+Investigación!E38+'Desarrollo Academico CEIN'!E38+'Servicios Escolares'!E38+Vinculación!E38+Planeación!E38+Calidad!E38+'Administración Recursos'!E38</f>
        <v>147000</v>
      </c>
      <c r="F38" s="66">
        <f>Electromecánica!F38+Alimentarias!F38+Innovación!F38+Administración!F38+Investigación!F38+'Desarrollo Academico CEIN'!F38+'Servicios Escolares'!F38+Vinculación!F38+Planeación!F38+Calidad!F38+'Administración Recursos'!F38</f>
        <v>85000</v>
      </c>
      <c r="G38" s="66">
        <f>Electromecánica!G38+Alimentarias!G38+Innovación!G38+Administración!G38+Investigación!G38+'Desarrollo Academico CEIN'!G38+'Servicios Escolares'!G38+Vinculación!G38+Planeación!G38+Calidad!G38+'Administración Recursos'!G38</f>
        <v>0</v>
      </c>
      <c r="H38" s="121">
        <f t="shared" si="3"/>
        <v>232000</v>
      </c>
      <c r="J38" s="187">
        <f>H38-'PE-PARTIDA'!H38</f>
        <v>0</v>
      </c>
    </row>
    <row r="39" spans="1:10" x14ac:dyDescent="0.25">
      <c r="A39" s="1">
        <f>'Administración Recursos'!A39</f>
        <v>2481</v>
      </c>
      <c r="B39" s="175" t="str">
        <f>'Administración Recursos'!B39</f>
        <v>Materiales complementarios</v>
      </c>
      <c r="C39" s="66">
        <f>Electromecánica!C39+Alimentarias!C39+Innovación!C39+Administración!C39+Investigación!C39+'Desarrollo Academico CEIN'!C39+'Servicios Escolares'!C39+Vinculación!C39+Planeación!C39+Calidad!C39+'Administración Recursos'!C39</f>
        <v>0</v>
      </c>
      <c r="D39" s="66">
        <f>Electromecánica!D39+Alimentarias!D39+Innovación!D39+Administración!D39+Investigación!D39+'Desarrollo Academico CEIN'!D39+'Servicios Escolares'!D39+Vinculación!D39+Planeación!D39+Calidad!D39+'Administración Recursos'!D39</f>
        <v>30000</v>
      </c>
      <c r="E39" s="66">
        <f>Electromecánica!E39+Alimentarias!E39+Innovación!E39+Administración!E39+Investigación!E39+'Desarrollo Academico CEIN'!E39+'Servicios Escolares'!E39+Vinculación!E39+Planeación!E39+Calidad!E39+'Administración Recursos'!E39</f>
        <v>0</v>
      </c>
      <c r="F39" s="66">
        <f>Electromecánica!F39+Alimentarias!F39+Innovación!F39+Administración!F39+Investigación!F39+'Desarrollo Academico CEIN'!F39+'Servicios Escolares'!F39+Vinculación!F39+Planeación!F39+Calidad!F39+'Administración Recursos'!F39</f>
        <v>0</v>
      </c>
      <c r="G39" s="66">
        <f>Electromecánica!G39+Alimentarias!G39+Innovación!G39+Administración!G39+Investigación!G39+'Desarrollo Academico CEIN'!G39+'Servicios Escolares'!G39+Vinculación!G39+Planeación!G39+Calidad!G39+'Administración Recursos'!G39</f>
        <v>0</v>
      </c>
      <c r="H39" s="121">
        <f t="shared" si="3"/>
        <v>30000</v>
      </c>
      <c r="J39" s="187">
        <f>H39-'PE-PARTIDA'!H39</f>
        <v>0</v>
      </c>
    </row>
    <row r="40" spans="1:10" ht="30" x14ac:dyDescent="0.25">
      <c r="A40" s="1">
        <f>'Administración Recursos'!A40</f>
        <v>2491</v>
      </c>
      <c r="B40" s="175" t="str">
        <f>'Administración Recursos'!B40</f>
        <v>Otros materiales y artículos de construcción y reparación</v>
      </c>
      <c r="C40" s="66">
        <f>Electromecánica!C40+Alimentarias!C40+Innovación!C40+Administración!C40+Investigación!C40+'Desarrollo Academico CEIN'!C40+'Servicios Escolares'!C40+Vinculación!C40+Planeación!C40+Calidad!C40+'Administración Recursos'!C40</f>
        <v>0</v>
      </c>
      <c r="D40" s="66">
        <f>Electromecánica!D40+Alimentarias!D40+Innovación!D40+Administración!D40+Investigación!D40+'Desarrollo Academico CEIN'!D40+'Servicios Escolares'!D40+Vinculación!D40+Planeación!D40+Calidad!D40+'Administración Recursos'!D40</f>
        <v>0</v>
      </c>
      <c r="E40" s="66">
        <f>Electromecánica!E40+Alimentarias!E40+Innovación!E40+Administración!E40+Investigación!E40+'Desarrollo Academico CEIN'!E40+'Servicios Escolares'!E40+Vinculación!E40+Planeación!E40+Calidad!E40+'Administración Recursos'!E40</f>
        <v>20000</v>
      </c>
      <c r="F40" s="66">
        <f>Electromecánica!F40+Alimentarias!F40+Innovación!F40+Administración!F40+Investigación!F40+'Desarrollo Academico CEIN'!F40+'Servicios Escolares'!F40+Vinculación!F40+Planeación!F40+Calidad!F40+'Administración Recursos'!F40</f>
        <v>15000</v>
      </c>
      <c r="G40" s="66">
        <f>Electromecánica!G40+Alimentarias!G40+Innovación!G40+Administración!G40+Investigación!G40+'Desarrollo Academico CEIN'!G40+'Servicios Escolares'!G40+Vinculación!G40+Planeación!G40+Calidad!G40+'Administración Recursos'!G40</f>
        <v>0</v>
      </c>
      <c r="H40" s="121">
        <f t="shared" si="3"/>
        <v>35000</v>
      </c>
      <c r="J40" s="187">
        <f>H40-'PE-PARTIDA'!H40</f>
        <v>0</v>
      </c>
    </row>
    <row r="41" spans="1:10" x14ac:dyDescent="0.25">
      <c r="A41" s="1">
        <f>'Administración Recursos'!A41</f>
        <v>2511</v>
      </c>
      <c r="B41" s="175" t="str">
        <f>'Administración Recursos'!B41</f>
        <v>Productos químicos básicos</v>
      </c>
      <c r="C41" s="66">
        <f>Electromecánica!C41+Alimentarias!C41+Innovación!C41+Administración!C41+Investigación!C41+'Desarrollo Academico CEIN'!C41+'Servicios Escolares'!C41+Vinculación!C41+Planeación!C41+Calidad!C41+'Administración Recursos'!C41</f>
        <v>0</v>
      </c>
      <c r="D41" s="66">
        <f>Electromecánica!D41+Alimentarias!D41+Innovación!D41+Administración!D41+Investigación!D41+'Desarrollo Academico CEIN'!D41+'Servicios Escolares'!D41+Vinculación!D41+Planeación!D41+Calidad!D41+'Administración Recursos'!D41</f>
        <v>0</v>
      </c>
      <c r="E41" s="66">
        <f>Electromecánica!E41+Alimentarias!E41+Innovación!E41+Administración!E41+Investigación!E41+'Desarrollo Academico CEIN'!E41+'Servicios Escolares'!E41+Vinculación!E41+Planeación!E41+Calidad!E41+'Administración Recursos'!E41</f>
        <v>0</v>
      </c>
      <c r="F41" s="66">
        <f>Electromecánica!F41+Alimentarias!F41+Innovación!F41+Administración!F41+Investigación!F41+'Desarrollo Academico CEIN'!F41+'Servicios Escolares'!F41+Vinculación!F41+Planeación!F41+Calidad!F41+'Administración Recursos'!F41</f>
        <v>75000</v>
      </c>
      <c r="G41" s="66">
        <f>Electromecánica!G41+Alimentarias!G41+Innovación!G41+Administración!G41+Investigación!G41+'Desarrollo Academico CEIN'!G41+'Servicios Escolares'!G41+Vinculación!G41+Planeación!G41+Calidad!G41+'Administración Recursos'!G41</f>
        <v>0</v>
      </c>
      <c r="H41" s="121">
        <f t="shared" si="3"/>
        <v>75000</v>
      </c>
      <c r="J41" s="187">
        <f>H41-'PE-PARTIDA'!H41</f>
        <v>0</v>
      </c>
    </row>
    <row r="42" spans="1:10" x14ac:dyDescent="0.25">
      <c r="A42" s="1">
        <f>'Administración Recursos'!A42</f>
        <v>2521</v>
      </c>
      <c r="B42" s="175" t="str">
        <f>'Administración Recursos'!B42</f>
        <v>Fertilizantes, pesticidas y otros agroquímicos</v>
      </c>
      <c r="C42" s="66">
        <f>Electromecánica!C42+Alimentarias!C42+Innovación!C42+Administración!C42+Investigación!C42+'Desarrollo Academico CEIN'!C42+'Servicios Escolares'!C42+Vinculación!C42+Planeación!C42+Calidad!C42+'Administración Recursos'!C42</f>
        <v>0</v>
      </c>
      <c r="D42" s="66">
        <f>Electromecánica!D42+Alimentarias!D42+Innovación!D42+Administración!D42+Investigación!D42+'Desarrollo Academico CEIN'!D42+'Servicios Escolares'!D42+Vinculación!D42+Planeación!D42+Calidad!D42+'Administración Recursos'!D42</f>
        <v>20000</v>
      </c>
      <c r="E42" s="66">
        <f>Electromecánica!E42+Alimentarias!E42+Innovación!E42+Administración!E42+Investigación!E42+'Desarrollo Academico CEIN'!E42+'Servicios Escolares'!E42+Vinculación!E42+Planeación!E42+Calidad!E42+'Administración Recursos'!E42</f>
        <v>65000</v>
      </c>
      <c r="F42" s="66">
        <f>Electromecánica!F42+Alimentarias!F42+Innovación!F42+Administración!F42+Investigación!F42+'Desarrollo Academico CEIN'!F42+'Servicios Escolares'!F42+Vinculación!F42+Planeación!F42+Calidad!F42+'Administración Recursos'!F42</f>
        <v>70000</v>
      </c>
      <c r="G42" s="66">
        <f>Electromecánica!G42+Alimentarias!G42+Innovación!G42+Administración!G42+Investigación!G42+'Desarrollo Academico CEIN'!G42+'Servicios Escolares'!G42+Vinculación!G42+Planeación!G42+Calidad!G42+'Administración Recursos'!G42</f>
        <v>0</v>
      </c>
      <c r="H42" s="121">
        <f>SUM(C42:G42)</f>
        <v>155000</v>
      </c>
      <c r="J42" s="187">
        <f>H42-'PE-PARTIDA'!H42</f>
        <v>0</v>
      </c>
    </row>
    <row r="43" spans="1:10" x14ac:dyDescent="0.25">
      <c r="A43" s="1">
        <f>'Administración Recursos'!A43</f>
        <v>2531</v>
      </c>
      <c r="B43" s="175" t="str">
        <f>'Administración Recursos'!B43</f>
        <v>Medicinas y productos farmacéuticos</v>
      </c>
      <c r="C43" s="66">
        <f>Electromecánica!C43+Alimentarias!C43+Innovación!C43+Administración!C43+Investigación!C43+'Desarrollo Academico CEIN'!C43+'Servicios Escolares'!C43+Vinculación!C43+Planeación!C43+Calidad!C43+'Administración Recursos'!C43</f>
        <v>0</v>
      </c>
      <c r="D43" s="66">
        <f>Electromecánica!D43+Alimentarias!D43+Innovación!D43+Administración!D43+Investigación!D43+'Desarrollo Academico CEIN'!D43+'Servicios Escolares'!D43+Vinculación!D43+Planeación!D43+Calidad!D43+'Administración Recursos'!D43</f>
        <v>4000</v>
      </c>
      <c r="E43" s="66">
        <f>Electromecánica!E43+Alimentarias!E43+Innovación!E43+Administración!E43+Investigación!E43+'Desarrollo Academico CEIN'!E43+'Servicios Escolares'!E43+Vinculación!E43+Planeación!E43+Calidad!E43+'Administración Recursos'!E43</f>
        <v>2000</v>
      </c>
      <c r="F43" s="66">
        <f>Electromecánica!F43+Alimentarias!F43+Innovación!F43+Administración!F43+Investigación!F43+'Desarrollo Academico CEIN'!F43+'Servicios Escolares'!F43+Vinculación!F43+Planeación!F43+Calidad!F43+'Administración Recursos'!F43</f>
        <v>1500</v>
      </c>
      <c r="G43" s="66">
        <f>Electromecánica!G43+Alimentarias!G43+Innovación!G43+Administración!G43+Investigación!G43+'Desarrollo Academico CEIN'!G43+'Servicios Escolares'!G43+Vinculación!G43+Planeación!G43+Calidad!G43+'Administración Recursos'!G43</f>
        <v>0</v>
      </c>
      <c r="H43" s="121">
        <f t="shared" si="3"/>
        <v>7500</v>
      </c>
      <c r="J43" s="187">
        <f>H43-'PE-PARTIDA'!H43</f>
        <v>0</v>
      </c>
    </row>
    <row r="44" spans="1:10" x14ac:dyDescent="0.25">
      <c r="A44" s="1">
        <f>'Administración Recursos'!A44</f>
        <v>2541</v>
      </c>
      <c r="B44" s="175" t="str">
        <f>'Administración Recursos'!B44</f>
        <v>Materiales, accesorios y suministros médicos</v>
      </c>
      <c r="C44" s="66">
        <f>Electromecánica!C44+Alimentarias!C44+Innovación!C44+Administración!C44+Investigación!C44+'Desarrollo Academico CEIN'!C44+'Servicios Escolares'!C44+Vinculación!C44+Planeación!C44+Calidad!C44+'Administración Recursos'!C44</f>
        <v>0</v>
      </c>
      <c r="D44" s="66">
        <f>Electromecánica!D44+Alimentarias!D44+Innovación!D44+Administración!D44+Investigación!D44+'Desarrollo Academico CEIN'!D44+'Servicios Escolares'!D44+Vinculación!D44+Planeación!D44+Calidad!D44+'Administración Recursos'!D44</f>
        <v>0</v>
      </c>
      <c r="E44" s="66">
        <f>Electromecánica!E44+Alimentarias!E44+Innovación!E44+Administración!E44+Investigación!E44+'Desarrollo Academico CEIN'!E44+'Servicios Escolares'!E44+Vinculación!E44+Planeación!E44+Calidad!E44+'Administración Recursos'!E44</f>
        <v>0</v>
      </c>
      <c r="F44" s="66">
        <f>Electromecánica!F44+Alimentarias!F44+Innovación!F44+Administración!F44+Investigación!F44+'Desarrollo Academico CEIN'!F44+'Servicios Escolares'!F44+Vinculación!F44+Planeación!F44+Calidad!F44+'Administración Recursos'!F44</f>
        <v>1500</v>
      </c>
      <c r="G44" s="66">
        <f>Electromecánica!G44+Alimentarias!G44+Innovación!G44+Administración!G44+Investigación!G44+'Desarrollo Academico CEIN'!G44+'Servicios Escolares'!G44+Vinculación!G44+Planeación!G44+Calidad!G44+'Administración Recursos'!G44</f>
        <v>0</v>
      </c>
      <c r="H44" s="121">
        <f t="shared" si="3"/>
        <v>1500</v>
      </c>
      <c r="J44" s="187">
        <f>H44-'PE-PARTIDA'!H44</f>
        <v>0</v>
      </c>
    </row>
    <row r="45" spans="1:10" ht="30" x14ac:dyDescent="0.25">
      <c r="A45" s="1">
        <f>'Administración Recursos'!A45</f>
        <v>2551</v>
      </c>
      <c r="B45" s="175" t="str">
        <f>'Administración Recursos'!B45</f>
        <v>Materiales, accesorios y suministros de laboratorio</v>
      </c>
      <c r="C45" s="66">
        <f>Electromecánica!C45+Alimentarias!C45+Innovación!C45+Administración!C45+Investigación!C45+'Desarrollo Academico CEIN'!C45+'Servicios Escolares'!C45+Vinculación!C45+Planeación!C45+Calidad!C45+'Administración Recursos'!C45</f>
        <v>0</v>
      </c>
      <c r="D45" s="66">
        <f>Electromecánica!D45+Alimentarias!D45+Innovación!D45+Administración!D45+Investigación!D45+'Desarrollo Academico CEIN'!D45+'Servicios Escolares'!D45+Vinculación!D45+Planeación!D45+Calidad!D45+'Administración Recursos'!D45</f>
        <v>30000</v>
      </c>
      <c r="E45" s="66">
        <f>Electromecánica!E45+Alimentarias!E45+Innovación!E45+Administración!E45+Investigación!E45+'Desarrollo Academico CEIN'!E45+'Servicios Escolares'!E45+Vinculación!E45+Planeación!E45+Calidad!E45+'Administración Recursos'!E45</f>
        <v>17000</v>
      </c>
      <c r="F45" s="66">
        <f>Electromecánica!F45+Alimentarias!F45+Innovación!F45+Administración!F45+Investigación!F45+'Desarrollo Academico CEIN'!F45+'Servicios Escolares'!F45+Vinculación!F45+Planeación!F45+Calidad!F45+'Administración Recursos'!F45</f>
        <v>0</v>
      </c>
      <c r="G45" s="66">
        <f>Electromecánica!G45+Alimentarias!G45+Innovación!G45+Administración!G45+Investigación!G45+'Desarrollo Academico CEIN'!G45+'Servicios Escolares'!G45+Vinculación!G45+Planeación!G45+Calidad!G45+'Administración Recursos'!G45</f>
        <v>0</v>
      </c>
      <c r="H45" s="121">
        <f t="shared" si="3"/>
        <v>47000</v>
      </c>
      <c r="J45" s="187">
        <f>H45-'PE-PARTIDA'!H45</f>
        <v>0</v>
      </c>
    </row>
    <row r="46" spans="1:10" x14ac:dyDescent="0.25">
      <c r="A46" s="1">
        <f>'Administración Recursos'!A46</f>
        <v>2561</v>
      </c>
      <c r="B46" s="175" t="str">
        <f>'Administración Recursos'!B46</f>
        <v>fibras sintéticas, hules, plásticos y derivados</v>
      </c>
      <c r="C46" s="66">
        <f>Electromecánica!C46+Alimentarias!C46+Innovación!C46+Administración!C46+Investigación!C46+'Desarrollo Academico CEIN'!C46+'Servicios Escolares'!C46+Vinculación!C46+Planeación!C46+Calidad!C46+'Administración Recursos'!C46</f>
        <v>0</v>
      </c>
      <c r="D46" s="66">
        <f>Electromecánica!D46+Alimentarias!D46+Innovación!D46+Administración!D46+Investigación!D46+'Desarrollo Academico CEIN'!D46+'Servicios Escolares'!D46+Vinculación!D46+Planeación!D46+Calidad!D46+'Administración Recursos'!D46</f>
        <v>0</v>
      </c>
      <c r="E46" s="66">
        <f>Electromecánica!E46+Alimentarias!E46+Innovación!E46+Administración!E46+Investigación!E46+'Desarrollo Academico CEIN'!E46+'Servicios Escolares'!E46+Vinculación!E46+Planeación!E46+Calidad!E46+'Administración Recursos'!E46</f>
        <v>58000</v>
      </c>
      <c r="F46" s="66">
        <f>Electromecánica!F46+Alimentarias!F46+Innovación!F46+Administración!F46+Investigación!F46+'Desarrollo Academico CEIN'!F46+'Servicios Escolares'!F46+Vinculación!F46+Planeación!F46+Calidad!F46+'Administración Recursos'!F46</f>
        <v>56500</v>
      </c>
      <c r="G46" s="66">
        <f>Electromecánica!G46+Alimentarias!G46+Innovación!G46+Administración!G46+Investigación!G46+'Desarrollo Academico CEIN'!G46+'Servicios Escolares'!G46+Vinculación!G46+Planeación!G46+Calidad!G46+'Administración Recursos'!G46</f>
        <v>0</v>
      </c>
      <c r="H46" s="121">
        <f t="shared" si="3"/>
        <v>114500</v>
      </c>
      <c r="J46" s="187">
        <f>H46-'PE-PARTIDA'!H46</f>
        <v>0</v>
      </c>
    </row>
    <row r="47" spans="1:10" x14ac:dyDescent="0.25">
      <c r="A47" s="1">
        <f>'Administración Recursos'!A47</f>
        <v>2591</v>
      </c>
      <c r="B47" s="175" t="str">
        <f>'Administración Recursos'!B47</f>
        <v>Otros productos químicos</v>
      </c>
      <c r="C47" s="66">
        <f>Electromecánica!C47+Alimentarias!C47+Innovación!C47+Administración!C47+Investigación!C47+'Desarrollo Academico CEIN'!C47+'Servicios Escolares'!C47+Vinculación!C47+Planeación!C47+Calidad!C47+'Administración Recursos'!C47</f>
        <v>0</v>
      </c>
      <c r="D47" s="66">
        <f>Electromecánica!D47+Alimentarias!D47+Innovación!D47+Administración!D47+Investigación!D47+'Desarrollo Academico CEIN'!D47+'Servicios Escolares'!D47+Vinculación!D47+Planeación!D47+Calidad!D47+'Administración Recursos'!D47</f>
        <v>20000</v>
      </c>
      <c r="E47" s="66">
        <f>Electromecánica!E47+Alimentarias!E47+Innovación!E47+Administración!E47+Investigación!E47+'Desarrollo Academico CEIN'!E47+'Servicios Escolares'!E47+Vinculación!E47+Planeación!E47+Calidad!E47+'Administración Recursos'!E47</f>
        <v>5000</v>
      </c>
      <c r="F47" s="66">
        <f>Electromecánica!F47+Alimentarias!F47+Innovación!F47+Administración!F47+Investigación!F47+'Desarrollo Academico CEIN'!F47+'Servicios Escolares'!F47+Vinculación!F47+Planeación!F47+Calidad!F47+'Administración Recursos'!F47</f>
        <v>0</v>
      </c>
      <c r="G47" s="66">
        <f>Electromecánica!G47+Alimentarias!G47+Innovación!G47+Administración!G47+Investigación!G47+'Desarrollo Academico CEIN'!G47+'Servicios Escolares'!G47+Vinculación!G47+Planeación!G47+Calidad!G47+'Administración Recursos'!G47</f>
        <v>0</v>
      </c>
      <c r="H47" s="121">
        <f t="shared" si="3"/>
        <v>25000</v>
      </c>
      <c r="J47" s="187">
        <f>H47-'PE-PARTIDA'!H47</f>
        <v>0</v>
      </c>
    </row>
    <row r="48" spans="1:10" ht="30" x14ac:dyDescent="0.25">
      <c r="A48" s="1">
        <f>'Administración Recursos'!A48</f>
        <v>2611</v>
      </c>
      <c r="B48" s="175" t="str">
        <f>'Administración Recursos'!B48</f>
        <v>Combustibles, lubricantes y aditivos para vehiculos terrestres</v>
      </c>
      <c r="C48" s="66">
        <f>Electromecánica!C48+Alimentarias!C48+Innovación!C48+Administración!C48+Investigación!C48+'Desarrollo Academico CEIN'!C48+'Servicios Escolares'!C48+Vinculación!C48+Planeación!C48+Calidad!C48+'Administración Recursos'!C48</f>
        <v>0</v>
      </c>
      <c r="D48" s="66">
        <f>Electromecánica!D48+Alimentarias!D48+Innovación!D48+Administración!D48+Investigación!D48+'Desarrollo Academico CEIN'!D48+'Servicios Escolares'!D48+Vinculación!D48+Planeación!D48+Calidad!D48+'Administración Recursos'!D48</f>
        <v>210000</v>
      </c>
      <c r="E48" s="66">
        <f>Electromecánica!E48+Alimentarias!E48+Innovación!E48+Administración!E48+Investigación!E48+'Desarrollo Academico CEIN'!E48+'Servicios Escolares'!E48+Vinculación!E48+Planeación!E48+Calidad!E48+'Administración Recursos'!E48</f>
        <v>0</v>
      </c>
      <c r="F48" s="66">
        <f>Electromecánica!F48+Alimentarias!F48+Innovación!F48+Administración!F48+Investigación!F48+'Desarrollo Academico CEIN'!F48+'Servicios Escolares'!F48+Vinculación!F48+Planeación!F48+Calidad!F48+'Administración Recursos'!F48</f>
        <v>0</v>
      </c>
      <c r="G48" s="66">
        <f>Electromecánica!G48+Alimentarias!G48+Innovación!G48+Administración!G48+Investigación!G48+'Desarrollo Academico CEIN'!G48+'Servicios Escolares'!G48+Vinculación!G48+Planeación!G48+Calidad!G48+'Administración Recursos'!G48</f>
        <v>0</v>
      </c>
      <c r="H48" s="121">
        <f t="shared" si="3"/>
        <v>210000</v>
      </c>
      <c r="J48" s="187">
        <f>H48-'PE-PARTIDA'!H48</f>
        <v>0</v>
      </c>
    </row>
    <row r="49" spans="1:10" ht="30" x14ac:dyDescent="0.25">
      <c r="A49" s="1">
        <f>'Administración Recursos'!A49</f>
        <v>2614</v>
      </c>
      <c r="B49" s="175" t="str">
        <f>'Administración Recursos'!B49</f>
        <v>Combustibles, lubricantes y aditivos para maquinaria, equipo de</v>
      </c>
      <c r="C49" s="66">
        <f>Electromecánica!C49+Alimentarias!C49+Innovación!C49+Administración!C49+Investigación!C49+'Desarrollo Academico CEIN'!C49+'Servicios Escolares'!C49+Vinculación!C49+Planeación!C49+Calidad!C49+'Administración Recursos'!C49</f>
        <v>0</v>
      </c>
      <c r="D49" s="66">
        <f>Electromecánica!D49+Alimentarias!D49+Innovación!D49+Administración!D49+Investigación!D49+'Desarrollo Academico CEIN'!D49+'Servicios Escolares'!D49+Vinculación!D49+Planeación!D49+Calidad!D49+'Administración Recursos'!D49</f>
        <v>20000</v>
      </c>
      <c r="E49" s="66">
        <f>Electromecánica!E49+Alimentarias!E49+Innovación!E49+Administración!E49+Investigación!E49+'Desarrollo Academico CEIN'!E49+'Servicios Escolares'!E49+Vinculación!E49+Planeación!E49+Calidad!E49+'Administración Recursos'!E49</f>
        <v>0</v>
      </c>
      <c r="F49" s="66">
        <f>Electromecánica!F49+Alimentarias!F49+Innovación!F49+Administración!F49+Investigación!F49+'Desarrollo Academico CEIN'!F49+'Servicios Escolares'!F49+Vinculación!F49+Planeación!F49+Calidad!F49+'Administración Recursos'!F49</f>
        <v>0</v>
      </c>
      <c r="G49" s="66">
        <f>Electromecánica!G49+Alimentarias!G49+Innovación!G49+Administración!G49+Investigación!G49+'Desarrollo Academico CEIN'!G49+'Servicios Escolares'!G49+Vinculación!G49+Planeación!G49+Calidad!G49+'Administración Recursos'!G49</f>
        <v>0</v>
      </c>
      <c r="H49" s="121">
        <f t="shared" si="3"/>
        <v>20000</v>
      </c>
      <c r="J49" s="187">
        <f>H49-'PE-PARTIDA'!H49</f>
        <v>0</v>
      </c>
    </row>
    <row r="50" spans="1:10" x14ac:dyDescent="0.25">
      <c r="A50" s="1">
        <f>'Administración Recursos'!A50</f>
        <v>2711</v>
      </c>
      <c r="B50" s="175" t="str">
        <f>'Administración Recursos'!B50</f>
        <v>Vestuarios y uniformes</v>
      </c>
      <c r="C50" s="66">
        <f>Electromecánica!C50+Alimentarias!C50+Innovación!C50+Administración!C50+Investigación!C50+'Desarrollo Academico CEIN'!C50+'Servicios Escolares'!C50+Vinculación!C50+Planeación!C50+Calidad!C50+'Administración Recursos'!C50</f>
        <v>0</v>
      </c>
      <c r="D50" s="66">
        <f>Electromecánica!D50+Alimentarias!D50+Innovación!D50+Administración!D50+Investigación!D50+'Desarrollo Academico CEIN'!D50+'Servicios Escolares'!D50+Vinculación!D50+Planeación!D50+Calidad!D50+'Administración Recursos'!D50</f>
        <v>130000</v>
      </c>
      <c r="E50" s="66">
        <f>Electromecánica!E50+Alimentarias!E50+Innovación!E50+Administración!E50+Investigación!E50+'Desarrollo Academico CEIN'!E50+'Servicios Escolares'!E50+Vinculación!E50+Planeación!E50+Calidad!E50+'Administración Recursos'!E50</f>
        <v>0</v>
      </c>
      <c r="F50" s="66">
        <f>Electromecánica!F50+Alimentarias!F50+Innovación!F50+Administración!F50+Investigación!F50+'Desarrollo Academico CEIN'!F50+'Servicios Escolares'!F50+Vinculación!F50+Planeación!F50+Calidad!F50+'Administración Recursos'!F50</f>
        <v>0</v>
      </c>
      <c r="G50" s="66">
        <f>Electromecánica!G50+Alimentarias!G50+Innovación!G50+Administración!G50+Investigación!G50+'Desarrollo Academico CEIN'!G50+'Servicios Escolares'!G50+Vinculación!G50+Planeación!G50+Calidad!G50+'Administración Recursos'!G50</f>
        <v>0</v>
      </c>
      <c r="H50" s="121">
        <f t="shared" si="3"/>
        <v>130000</v>
      </c>
      <c r="J50" s="187">
        <f>H50-'PE-PARTIDA'!H50</f>
        <v>0</v>
      </c>
    </row>
    <row r="51" spans="1:10" x14ac:dyDescent="0.25">
      <c r="A51" s="1">
        <f>'Administración Recursos'!A51</f>
        <v>2721</v>
      </c>
      <c r="B51" s="175" t="str">
        <f>'Administración Recursos'!B51</f>
        <v>Prendas de seguridad y protección personal</v>
      </c>
      <c r="C51" s="66">
        <f>Electromecánica!C51+Alimentarias!C51+Innovación!C51+Administración!C51+Investigación!C51+'Desarrollo Academico CEIN'!C51+'Servicios Escolares'!C51+Vinculación!C51+Planeación!C51+Calidad!C51+'Administración Recursos'!C51</f>
        <v>0</v>
      </c>
      <c r="D51" s="66">
        <f>Electromecánica!D51+Alimentarias!D51+Innovación!D51+Administración!D51+Investigación!D51+'Desarrollo Academico CEIN'!D51+'Servicios Escolares'!D51+Vinculación!D51+Planeación!D51+Calidad!D51+'Administración Recursos'!D51</f>
        <v>0</v>
      </c>
      <c r="E51" s="66">
        <f>Electromecánica!E51+Alimentarias!E51+Innovación!E51+Administración!E51+Investigación!E51+'Desarrollo Academico CEIN'!E51+'Servicios Escolares'!E51+Vinculación!E51+Planeación!E51+Calidad!E51+'Administración Recursos'!E51</f>
        <v>0</v>
      </c>
      <c r="F51" s="66">
        <f>Electromecánica!F51+Alimentarias!F51+Innovación!F51+Administración!F51+Investigación!F51+'Desarrollo Academico CEIN'!F51+'Servicios Escolares'!F51+Vinculación!F51+Planeación!F51+Calidad!F51+'Administración Recursos'!F51</f>
        <v>18000</v>
      </c>
      <c r="G51" s="66">
        <f>Electromecánica!G51+Alimentarias!G51+Innovación!G51+Administración!G51+Investigación!G51+'Desarrollo Academico CEIN'!G51+'Servicios Escolares'!G51+Vinculación!G51+Planeación!G51+Calidad!G51+'Administración Recursos'!G51</f>
        <v>0</v>
      </c>
      <c r="H51" s="121">
        <f t="shared" si="3"/>
        <v>18000</v>
      </c>
      <c r="J51" s="187">
        <f>H51-'PE-PARTIDA'!H51</f>
        <v>0</v>
      </c>
    </row>
    <row r="52" spans="1:10" x14ac:dyDescent="0.25">
      <c r="A52" s="1">
        <f>'Administración Recursos'!A52</f>
        <v>2731</v>
      </c>
      <c r="B52" s="175" t="str">
        <f>'Administración Recursos'!B52</f>
        <v>Artículos deportivos</v>
      </c>
      <c r="C52" s="66">
        <f>Electromecánica!C52+Alimentarias!C52+Innovación!C52+Administración!C52+Investigación!C52+'Desarrollo Academico CEIN'!C52+'Servicios Escolares'!C52+Vinculación!C52+Planeación!C52+Calidad!C52+'Administración Recursos'!C52</f>
        <v>0</v>
      </c>
      <c r="D52" s="66">
        <f>Electromecánica!D52+Alimentarias!D52+Innovación!D52+Administración!D52+Investigación!D52+'Desarrollo Academico CEIN'!D52+'Servicios Escolares'!D52+Vinculación!D52+Planeación!D52+Calidad!D52+'Administración Recursos'!D52</f>
        <v>25000</v>
      </c>
      <c r="E52" s="66">
        <f>Electromecánica!E52+Alimentarias!E52+Innovación!E52+Administración!E52+Investigación!E52+'Desarrollo Academico CEIN'!E52+'Servicios Escolares'!E52+Vinculación!E52+Planeación!E52+Calidad!E52+'Administración Recursos'!E52</f>
        <v>0</v>
      </c>
      <c r="F52" s="66">
        <f>Electromecánica!F52+Alimentarias!F52+Innovación!F52+Administración!F52+Investigación!F52+'Desarrollo Academico CEIN'!F52+'Servicios Escolares'!F52+Vinculación!F52+Planeación!F52+Calidad!F52+'Administración Recursos'!F52</f>
        <v>0</v>
      </c>
      <c r="G52" s="66">
        <f>Electromecánica!G52+Alimentarias!G52+Innovación!G52+Administración!G52+Investigación!G52+'Desarrollo Academico CEIN'!G52+'Servicios Escolares'!G52+Vinculación!G52+Planeación!G52+Calidad!G52+'Administración Recursos'!G52</f>
        <v>0</v>
      </c>
      <c r="H52" s="121">
        <f t="shared" si="3"/>
        <v>25000</v>
      </c>
      <c r="J52" s="187">
        <f>H52-'PE-PARTIDA'!H52</f>
        <v>0</v>
      </c>
    </row>
    <row r="53" spans="1:10" x14ac:dyDescent="0.25">
      <c r="A53" s="1">
        <f>'Administración Recursos'!A53</f>
        <v>2741</v>
      </c>
      <c r="B53" s="175" t="str">
        <f>'Administración Recursos'!B53</f>
        <v>Productos textiles</v>
      </c>
      <c r="C53" s="66">
        <f>Electromecánica!C53+Alimentarias!C53+Innovación!C53+Administración!C53+Investigación!C53+'Desarrollo Academico CEIN'!C53+'Servicios Escolares'!C53+Vinculación!C53+Planeación!C53+Calidad!C53+'Administración Recursos'!C53</f>
        <v>0</v>
      </c>
      <c r="D53" s="66">
        <f>Electromecánica!D53+Alimentarias!D53+Innovación!D53+Administración!D53+Investigación!D53+'Desarrollo Academico CEIN'!D53+'Servicios Escolares'!D53+Vinculación!D53+Planeación!D53+Calidad!D53+'Administración Recursos'!D53</f>
        <v>2000</v>
      </c>
      <c r="E53" s="66">
        <f>Electromecánica!E53+Alimentarias!E53+Innovación!E53+Administración!E53+Investigación!E53+'Desarrollo Academico CEIN'!E53+'Servicios Escolares'!E53+Vinculación!E53+Planeación!E53+Calidad!E53+'Administración Recursos'!E53</f>
        <v>0</v>
      </c>
      <c r="F53" s="66">
        <f>Electromecánica!F53+Alimentarias!F53+Innovación!F53+Administración!F53+Investigación!F53+'Desarrollo Academico CEIN'!F53+'Servicios Escolares'!F53+Vinculación!F53+Planeación!F53+Calidad!F53+'Administración Recursos'!F53</f>
        <v>0</v>
      </c>
      <c r="G53" s="66">
        <f>Electromecánica!G53+Alimentarias!G53+Innovación!G53+Administración!G53+Investigación!G53+'Desarrollo Academico CEIN'!G53+'Servicios Escolares'!G53+Vinculación!G53+Planeación!G53+Calidad!G53+'Administración Recursos'!G53</f>
        <v>0</v>
      </c>
      <c r="H53" s="121">
        <f t="shared" si="3"/>
        <v>2000</v>
      </c>
      <c r="J53" s="187">
        <f>H53-'PE-PARTIDA'!H53</f>
        <v>0</v>
      </c>
    </row>
    <row r="54" spans="1:10" ht="30" x14ac:dyDescent="0.25">
      <c r="A54" s="1">
        <f>'Administración Recursos'!A54</f>
        <v>2751</v>
      </c>
      <c r="B54" s="175" t="str">
        <f>'Administración Recursos'!B54</f>
        <v>Blancos y otros productos textiles, excepto prendas de vestir</v>
      </c>
      <c r="C54" s="66">
        <f>Electromecánica!C54+Alimentarias!C54+Innovación!C54+Administración!C54+Investigación!C54+'Desarrollo Academico CEIN'!C54+'Servicios Escolares'!C54+Vinculación!C54+Planeación!C54+Calidad!C54+'Administración Recursos'!C54</f>
        <v>0</v>
      </c>
      <c r="D54" s="66">
        <f>Electromecánica!D54+Alimentarias!D54+Innovación!D54+Administración!D54+Investigación!D54+'Desarrollo Academico CEIN'!D54+'Servicios Escolares'!D54+Vinculación!D54+Planeación!D54+Calidad!D54+'Administración Recursos'!D54</f>
        <v>15000</v>
      </c>
      <c r="E54" s="66">
        <f>Electromecánica!E54+Alimentarias!E54+Innovación!E54+Administración!E54+Investigación!E54+'Desarrollo Academico CEIN'!E54+'Servicios Escolares'!E54+Vinculación!E54+Planeación!E54+Calidad!E54+'Administración Recursos'!E54</f>
        <v>0</v>
      </c>
      <c r="F54" s="66">
        <f>Electromecánica!F54+Alimentarias!F54+Innovación!F54+Administración!F54+Investigación!F54+'Desarrollo Academico CEIN'!F54+'Servicios Escolares'!F54+Vinculación!F54+Planeación!F54+Calidad!F54+'Administración Recursos'!F54</f>
        <v>0</v>
      </c>
      <c r="G54" s="66">
        <f>Electromecánica!G54+Alimentarias!G54+Innovación!G54+Administración!G54+Investigación!G54+'Desarrollo Academico CEIN'!G54+'Servicios Escolares'!G54+Vinculación!G54+Planeación!G54+Calidad!G54+'Administración Recursos'!G54</f>
        <v>0</v>
      </c>
      <c r="H54" s="121">
        <f t="shared" si="3"/>
        <v>15000</v>
      </c>
      <c r="J54" s="187">
        <f>H54-'PE-PARTIDA'!H54</f>
        <v>0</v>
      </c>
    </row>
    <row r="55" spans="1:10" x14ac:dyDescent="0.25">
      <c r="A55" s="1">
        <f>'Administración Recursos'!A55</f>
        <v>2911</v>
      </c>
      <c r="B55" s="175" t="str">
        <f>'Administración Recursos'!B55</f>
        <v>Herramientas menores</v>
      </c>
      <c r="C55" s="66">
        <f>Electromecánica!C55+Alimentarias!C55+Innovación!C55+Administración!C55+Investigación!C55+'Desarrollo Academico CEIN'!C55+'Servicios Escolares'!C55+Vinculación!C55+Planeación!C55+Calidad!C55+'Administración Recursos'!C55</f>
        <v>0</v>
      </c>
      <c r="D55" s="66">
        <f>Electromecánica!D55+Alimentarias!D55+Innovación!D55+Administración!D55+Investigación!D55+'Desarrollo Academico CEIN'!D55+'Servicios Escolares'!D55+Vinculación!D55+Planeación!D55+Calidad!D55+'Administración Recursos'!D55</f>
        <v>15000</v>
      </c>
      <c r="E55" s="66">
        <f>Electromecánica!E55+Alimentarias!E55+Innovación!E55+Administración!E55+Investigación!E55+'Desarrollo Academico CEIN'!E55+'Servicios Escolares'!E55+Vinculación!E55+Planeación!E55+Calidad!E55+'Administración Recursos'!E55</f>
        <v>10000</v>
      </c>
      <c r="F55" s="66">
        <f>Electromecánica!F55+Alimentarias!F55+Innovación!F55+Administración!F55+Investigación!F55+'Desarrollo Academico CEIN'!F55+'Servicios Escolares'!F55+Vinculación!F55+Planeación!F55+Calidad!F55+'Administración Recursos'!F55</f>
        <v>0</v>
      </c>
      <c r="G55" s="66">
        <f>Electromecánica!G55+Alimentarias!G55+Innovación!G55+Administración!G55+Investigación!G55+'Desarrollo Academico CEIN'!G55+'Servicios Escolares'!G55+Vinculación!G55+Planeación!G55+Calidad!G55+'Administración Recursos'!G55</f>
        <v>0</v>
      </c>
      <c r="H55" s="121">
        <f t="shared" si="3"/>
        <v>25000</v>
      </c>
      <c r="J55" s="187">
        <f>H55-'PE-PARTIDA'!H55</f>
        <v>0</v>
      </c>
    </row>
    <row r="56" spans="1:10" x14ac:dyDescent="0.25">
      <c r="A56" s="1">
        <f>'Administración Recursos'!A56</f>
        <v>2921</v>
      </c>
      <c r="B56" s="175" t="str">
        <f>'Administración Recursos'!B56</f>
        <v>Refacciones y accesorios menores de edificios</v>
      </c>
      <c r="C56" s="66">
        <f>Electromecánica!C56+Alimentarias!C56+Innovación!C56+Administración!C56+Investigación!C56+'Desarrollo Academico CEIN'!C56+'Servicios Escolares'!C56+Vinculación!C56+Planeación!C56+Calidad!C56+'Administración Recursos'!C56</f>
        <v>0</v>
      </c>
      <c r="D56" s="66">
        <f>Electromecánica!D56+Alimentarias!D56+Innovación!D56+Administración!D56+Investigación!D56+'Desarrollo Academico CEIN'!D56+'Servicios Escolares'!D56+Vinculación!D56+Planeación!D56+Calidad!D56+'Administración Recursos'!D56</f>
        <v>4000</v>
      </c>
      <c r="E56" s="66">
        <f>Electromecánica!E56+Alimentarias!E56+Innovación!E56+Administración!E56+Investigación!E56+'Desarrollo Academico CEIN'!E56+'Servicios Escolares'!E56+Vinculación!E56+Planeación!E56+Calidad!E56+'Administración Recursos'!E56</f>
        <v>0</v>
      </c>
      <c r="F56" s="66">
        <f>Electromecánica!F56+Alimentarias!F56+Innovación!F56+Administración!F56+Investigación!F56+'Desarrollo Academico CEIN'!F56+'Servicios Escolares'!F56+Vinculación!F56+Planeación!F56+Calidad!F56+'Administración Recursos'!F56</f>
        <v>0</v>
      </c>
      <c r="G56" s="66">
        <f>Electromecánica!G56+Alimentarias!G56+Innovación!G56+Administración!G56+Investigación!G56+'Desarrollo Academico CEIN'!G56+'Servicios Escolares'!G56+Vinculación!G56+Planeación!G56+Calidad!G56+'Administración Recursos'!G56</f>
        <v>0</v>
      </c>
      <c r="H56" s="121">
        <f t="shared" si="3"/>
        <v>4000</v>
      </c>
      <c r="J56" s="187">
        <f>H56-'PE-PARTIDA'!H56</f>
        <v>0</v>
      </c>
    </row>
    <row r="57" spans="1:10" ht="30" x14ac:dyDescent="0.25">
      <c r="A57" s="1">
        <f>'Administración Recursos'!A57</f>
        <v>2931</v>
      </c>
      <c r="B57" s="175" t="str">
        <f>'Administración Recursos'!B57</f>
        <v>Refacciones y accesorios menores de mobiliario y equipo de administración</v>
      </c>
      <c r="C57" s="66">
        <f>Electromecánica!C57+Alimentarias!C57+Innovación!C57+Administración!C57+Investigación!C57+'Desarrollo Academico CEIN'!C57+'Servicios Escolares'!C57+Vinculación!C57+Planeación!C57+Calidad!C57+'Administración Recursos'!C57</f>
        <v>0</v>
      </c>
      <c r="D57" s="66">
        <f>Electromecánica!D57+Alimentarias!D57+Innovación!D57+Administración!D57+Investigación!D57+'Desarrollo Academico CEIN'!D57+'Servicios Escolares'!D57+Vinculación!D57+Planeación!D57+Calidad!D57+'Administración Recursos'!D57</f>
        <v>20000</v>
      </c>
      <c r="E57" s="66">
        <f>Electromecánica!E57+Alimentarias!E57+Innovación!E57+Administración!E57+Investigación!E57+'Desarrollo Academico CEIN'!E57+'Servicios Escolares'!E57+Vinculación!E57+Planeación!E57+Calidad!E57+'Administración Recursos'!E57</f>
        <v>0</v>
      </c>
      <c r="F57" s="66">
        <f>Electromecánica!F57+Alimentarias!F57+Innovación!F57+Administración!F57+Investigación!F57+'Desarrollo Academico CEIN'!F57+'Servicios Escolares'!F57+Vinculación!F57+Planeación!F57+Calidad!F57+'Administración Recursos'!F57</f>
        <v>0</v>
      </c>
      <c r="G57" s="66">
        <f>Electromecánica!G57+Alimentarias!G57+Innovación!G57+Administración!G57+Investigación!G57+'Desarrollo Academico CEIN'!G57+'Servicios Escolares'!G57+Vinculación!G57+Planeación!G57+Calidad!G57+'Administración Recursos'!G57</f>
        <v>0</v>
      </c>
      <c r="H57" s="121">
        <f t="shared" si="3"/>
        <v>20000</v>
      </c>
      <c r="J57" s="187">
        <f>H57-'PE-PARTIDA'!H57</f>
        <v>0</v>
      </c>
    </row>
    <row r="58" spans="1:10" ht="30" x14ac:dyDescent="0.25">
      <c r="A58" s="1">
        <f>'Administración Recursos'!A58</f>
        <v>2941</v>
      </c>
      <c r="B58" s="175" t="str">
        <f>'Administración Recursos'!B58</f>
        <v>Refacciones y accesorios menores de equipo de cómputo y tecnologías de la información</v>
      </c>
      <c r="C58" s="66">
        <f>Electromecánica!C58+Alimentarias!C58+Innovación!C58+Administración!C58+Investigación!C58+'Desarrollo Academico CEIN'!C58+'Servicios Escolares'!C58+Vinculación!C58+Planeación!C58+Calidad!C58+'Administración Recursos'!C58</f>
        <v>0</v>
      </c>
      <c r="D58" s="66">
        <f>Electromecánica!D58+Alimentarias!D58+Innovación!D58+Administración!D58+Investigación!D58+'Desarrollo Academico CEIN'!D58+'Servicios Escolares'!D58+Vinculación!D58+Planeación!D58+Calidad!D58+'Administración Recursos'!D58</f>
        <v>10000</v>
      </c>
      <c r="E58" s="66">
        <f>Electromecánica!E58+Alimentarias!E58+Innovación!E58+Administración!E58+Investigación!E58+'Desarrollo Academico CEIN'!E58+'Servicios Escolares'!E58+Vinculación!E58+Planeación!E58+Calidad!E58+'Administración Recursos'!E58</f>
        <v>10000</v>
      </c>
      <c r="F58" s="66">
        <f>Electromecánica!F58+Alimentarias!F58+Innovación!F58+Administración!F58+Investigación!F58+'Desarrollo Academico CEIN'!F58+'Servicios Escolares'!F58+Vinculación!F58+Planeación!F58+Calidad!F58+'Administración Recursos'!F58</f>
        <v>0</v>
      </c>
      <c r="G58" s="66">
        <f>Electromecánica!G58+Alimentarias!G58+Innovación!G58+Administración!G58+Investigación!G58+'Desarrollo Academico CEIN'!G58+'Servicios Escolares'!G58+Vinculación!G58+Planeación!G58+Calidad!G58+'Administración Recursos'!G58</f>
        <v>0</v>
      </c>
      <c r="H58" s="121">
        <f t="shared" si="3"/>
        <v>20000</v>
      </c>
      <c r="J58" s="187">
        <f>H58-'PE-PARTIDA'!H58</f>
        <v>0</v>
      </c>
    </row>
    <row r="59" spans="1:10" ht="30" x14ac:dyDescent="0.25">
      <c r="A59" s="1">
        <f>'Administración Recursos'!A59</f>
        <v>2951</v>
      </c>
      <c r="B59" s="175" t="str">
        <f>'Administración Recursos'!B59</f>
        <v>Refacciones y accesorios menores de equipo e instrumental médico y de laboratorio</v>
      </c>
      <c r="C59" s="66">
        <f>Electromecánica!C59+Alimentarias!C59+Innovación!C59+Administración!C59+Investigación!C59+'Desarrollo Academico CEIN'!C59+'Servicios Escolares'!C59+Vinculación!C59+Planeación!C59+Calidad!C59+'Administración Recursos'!C59</f>
        <v>0</v>
      </c>
      <c r="D59" s="66">
        <f>Electromecánica!D59+Alimentarias!D59+Innovación!D59+Administración!D59+Investigación!D59+'Desarrollo Academico CEIN'!D59+'Servicios Escolares'!D59+Vinculación!D59+Planeación!D59+Calidad!D59+'Administración Recursos'!D59</f>
        <v>2000</v>
      </c>
      <c r="E59" s="66">
        <f>Electromecánica!E59+Alimentarias!E59+Innovación!E59+Administración!E59+Investigación!E59+'Desarrollo Academico CEIN'!E59+'Servicios Escolares'!E59+Vinculación!E59+Planeación!E59+Calidad!E59+'Administración Recursos'!E59</f>
        <v>18000</v>
      </c>
      <c r="F59" s="66">
        <f>Electromecánica!F59+Alimentarias!F59+Innovación!F59+Administración!F59+Investigación!F59+'Desarrollo Academico CEIN'!F59+'Servicios Escolares'!F59+Vinculación!F59+Planeación!F59+Calidad!F59+'Administración Recursos'!F59</f>
        <v>0</v>
      </c>
      <c r="G59" s="66">
        <f>Electromecánica!G59+Alimentarias!G59+Innovación!G59+Administración!G59+Investigación!G59+'Desarrollo Academico CEIN'!G59+'Servicios Escolares'!G59+Vinculación!G59+Planeación!G59+Calidad!G59+'Administración Recursos'!G59</f>
        <v>0</v>
      </c>
      <c r="H59" s="121">
        <f t="shared" si="3"/>
        <v>20000</v>
      </c>
      <c r="J59" s="187">
        <f>H59-'PE-PARTIDA'!H59</f>
        <v>0</v>
      </c>
    </row>
    <row r="60" spans="1:10" ht="30" x14ac:dyDescent="0.25">
      <c r="A60" s="1">
        <f>'Administración Recursos'!A60</f>
        <v>2961</v>
      </c>
      <c r="B60" s="175" t="str">
        <f>'Administración Recursos'!B60</f>
        <v>Refacciones y accesorios menores de equipo de transporte</v>
      </c>
      <c r="C60" s="66">
        <f>Electromecánica!C60+Alimentarias!C60+Innovación!C60+Administración!C60+Investigación!C60+'Desarrollo Academico CEIN'!C60+'Servicios Escolares'!C60+Vinculación!C60+Planeación!C60+Calidad!C60+'Administración Recursos'!C60</f>
        <v>0</v>
      </c>
      <c r="D60" s="66">
        <f>Electromecánica!D60+Alimentarias!D60+Innovación!D60+Administración!D60+Investigación!D60+'Desarrollo Academico CEIN'!D60+'Servicios Escolares'!D60+Vinculación!D60+Planeación!D60+Calidad!D60+'Administración Recursos'!D60</f>
        <v>40000</v>
      </c>
      <c r="E60" s="66">
        <f>Electromecánica!E60+Alimentarias!E60+Innovación!E60+Administración!E60+Investigación!E60+'Desarrollo Academico CEIN'!E60+'Servicios Escolares'!E60+Vinculación!E60+Planeación!E60+Calidad!E60+'Administración Recursos'!E60</f>
        <v>0</v>
      </c>
      <c r="F60" s="66">
        <f>Electromecánica!F60+Alimentarias!F60+Innovación!F60+Administración!F60+Investigación!F60+'Desarrollo Academico CEIN'!F60+'Servicios Escolares'!F60+Vinculación!F60+Planeación!F60+Calidad!F60+'Administración Recursos'!F60</f>
        <v>0</v>
      </c>
      <c r="G60" s="66">
        <f>Electromecánica!G60+Alimentarias!G60+Innovación!G60+Administración!G60+Investigación!G60+'Desarrollo Academico CEIN'!G60+'Servicios Escolares'!G60+Vinculación!G60+Planeación!G60+Calidad!G60+'Administración Recursos'!G60</f>
        <v>0</v>
      </c>
      <c r="H60" s="121">
        <f t="shared" si="3"/>
        <v>40000</v>
      </c>
      <c r="J60" s="187">
        <f>H60-'PE-PARTIDA'!H60</f>
        <v>0</v>
      </c>
    </row>
    <row r="61" spans="1:10" ht="30" x14ac:dyDescent="0.25">
      <c r="A61" s="1">
        <f>'Administración Recursos'!A61</f>
        <v>2981</v>
      </c>
      <c r="B61" s="175" t="str">
        <f>'Administración Recursos'!B61</f>
        <v>Refacciones y accesorios menores de maquinaria y otros equipos</v>
      </c>
      <c r="C61" s="66">
        <f>Electromecánica!C61+Alimentarias!C61+Innovación!C61+Administración!C61+Investigación!C61+'Desarrollo Academico CEIN'!C61+'Servicios Escolares'!C61+Vinculación!C61+Planeación!C61+Calidad!C61+'Administración Recursos'!C61</f>
        <v>0</v>
      </c>
      <c r="D61" s="66">
        <f>Electromecánica!D61+Alimentarias!D61+Innovación!D61+Administración!D61+Investigación!D61+'Desarrollo Academico CEIN'!D61+'Servicios Escolares'!D61+Vinculación!D61+Planeación!D61+Calidad!D61+'Administración Recursos'!D61</f>
        <v>0</v>
      </c>
      <c r="E61" s="66">
        <f>Electromecánica!E61+Alimentarias!E61+Innovación!E61+Administración!E61+Investigación!E61+'Desarrollo Academico CEIN'!E61+'Servicios Escolares'!E61+Vinculación!E61+Planeación!E61+Calidad!E61+'Administración Recursos'!E61</f>
        <v>24000</v>
      </c>
      <c r="F61" s="66">
        <f>Electromecánica!F61+Alimentarias!F61+Innovación!F61+Administración!F61+Investigación!F61+'Desarrollo Academico CEIN'!F61+'Servicios Escolares'!F61+Vinculación!F61+Planeación!F61+Calidad!F61+'Administración Recursos'!F61</f>
        <v>0</v>
      </c>
      <c r="G61" s="66">
        <f>Electromecánica!G61+Alimentarias!G61+Innovación!G61+Administración!G61+Investigación!G61+'Desarrollo Academico CEIN'!G61+'Servicios Escolares'!G61+Vinculación!G61+Planeación!G61+Calidad!G61+'Administración Recursos'!G61</f>
        <v>0</v>
      </c>
      <c r="H61" s="121">
        <f t="shared" si="3"/>
        <v>24000</v>
      </c>
      <c r="J61" s="187">
        <f>H61-'PE-PARTIDA'!H61</f>
        <v>0</v>
      </c>
    </row>
    <row r="62" spans="1:10" ht="30" x14ac:dyDescent="0.25">
      <c r="A62" s="1">
        <f>'Administración Recursos'!A62</f>
        <v>2991</v>
      </c>
      <c r="B62" s="175" t="str">
        <f>'Administración Recursos'!B62</f>
        <v>Refacciones y accesorios menores otros bienes muebles</v>
      </c>
      <c r="C62" s="66">
        <f>Electromecánica!C62+Alimentarias!C62+Innovación!C62+Administración!C62+Investigación!C62+'Desarrollo Academico CEIN'!C62+'Servicios Escolares'!C62+Vinculación!C62+Planeación!C62+Calidad!C62+'Administración Recursos'!C62</f>
        <v>0</v>
      </c>
      <c r="D62" s="66">
        <f>Electromecánica!D62+Alimentarias!D62+Innovación!D62+Administración!D62+Investigación!D62+'Desarrollo Academico CEIN'!D62+'Servicios Escolares'!D62+Vinculación!D62+Planeación!D62+Calidad!D62+'Administración Recursos'!D62</f>
        <v>4000</v>
      </c>
      <c r="E62" s="66">
        <f>Electromecánica!E62+Alimentarias!E62+Innovación!E62+Administración!E62+Investigación!E62+'Desarrollo Academico CEIN'!E62+'Servicios Escolares'!E62+Vinculación!E62+Planeación!E62+Calidad!E62+'Administración Recursos'!E62</f>
        <v>0</v>
      </c>
      <c r="F62" s="66">
        <f>Electromecánica!F62+Alimentarias!F62+Innovación!F62+Administración!F62+Investigación!F62+'Desarrollo Academico CEIN'!F62+'Servicios Escolares'!F62+Vinculación!F62+Planeación!F62+Calidad!F62+'Administración Recursos'!F62</f>
        <v>0</v>
      </c>
      <c r="G62" s="66">
        <f>Electromecánica!G62+Alimentarias!G62+Innovación!G62+Administración!G62+Investigación!G62+'Desarrollo Academico CEIN'!G62+'Servicios Escolares'!G62+Vinculación!G62+Planeación!G62+Calidad!G62+'Administración Recursos'!G62</f>
        <v>0</v>
      </c>
      <c r="H62" s="121">
        <f t="shared" si="3"/>
        <v>4000</v>
      </c>
      <c r="J62" s="187">
        <f>H62-'PE-PARTIDA'!H62</f>
        <v>0</v>
      </c>
    </row>
    <row r="63" spans="1:10" x14ac:dyDescent="0.25">
      <c r="A63" s="1"/>
      <c r="C63" s="177">
        <f>SUM(C23:C62)</f>
        <v>0</v>
      </c>
      <c r="D63" s="176">
        <f t="shared" ref="D63:H63" si="4">SUM(D23:D62)</f>
        <v>1263000</v>
      </c>
      <c r="E63" s="176">
        <f t="shared" si="4"/>
        <v>401000</v>
      </c>
      <c r="F63" s="176">
        <f t="shared" si="4"/>
        <v>394500</v>
      </c>
      <c r="G63" s="176">
        <f t="shared" si="4"/>
        <v>0</v>
      </c>
      <c r="H63" s="176">
        <f t="shared" si="4"/>
        <v>2058500</v>
      </c>
      <c r="J63" s="187">
        <f>H63-'PE-PARTIDA'!H63</f>
        <v>0</v>
      </c>
    </row>
    <row r="64" spans="1:10" x14ac:dyDescent="0.25">
      <c r="A64" s="1"/>
      <c r="J64" s="187">
        <f>H64-'PE-PARTIDA'!H64</f>
        <v>0</v>
      </c>
    </row>
    <row r="65" spans="1:10" x14ac:dyDescent="0.25">
      <c r="A65" s="1">
        <f>'Administración Recursos'!A65</f>
        <v>3111</v>
      </c>
      <c r="B65" s="175" t="str">
        <f>'Administración Recursos'!B65</f>
        <v>Servicio de energía eléctrica</v>
      </c>
      <c r="C65" s="66">
        <f>Electromecánica!C65+Alimentarias!C65+Innovación!C65+Administración!C65+Investigación!C65+'Desarrollo Academico CEIN'!C65+'Servicios Escolares'!C65+Vinculación!C65+Planeación!C65+Calidad!C65+'Administración Recursos'!C65</f>
        <v>340000</v>
      </c>
      <c r="D65" s="66">
        <f>Electromecánica!D65+Alimentarias!D65+Innovación!D65+Administración!D65+Investigación!D65+'Desarrollo Academico CEIN'!D65+'Servicios Escolares'!D65+Vinculación!D65+Planeación!D65+Calidad!D65+'Administración Recursos'!D65</f>
        <v>0</v>
      </c>
      <c r="E65" s="66">
        <f>Electromecánica!E65+Alimentarias!E65+Innovación!E65+Administración!E65+Investigación!E65+'Desarrollo Academico CEIN'!E65+'Servicios Escolares'!E65+Vinculación!E65+Planeación!E65+Calidad!E65+'Administración Recursos'!E65</f>
        <v>10000</v>
      </c>
      <c r="F65" s="66">
        <f>Electromecánica!F65+Alimentarias!F65+Innovación!F65+Administración!F65+Investigación!F65+'Desarrollo Academico CEIN'!F65+'Servicios Escolares'!F65+Vinculación!F65+Planeación!F65+Calidad!F65+'Administración Recursos'!F65</f>
        <v>0</v>
      </c>
      <c r="G65" s="66">
        <f>Electromecánica!G65+Alimentarias!G65+Innovación!G65+Administración!G65+Investigación!G65+'Desarrollo Academico CEIN'!G65+'Servicios Escolares'!G65+Vinculación!G65+Planeación!G65+Calidad!G65+'Administración Recursos'!G65</f>
        <v>0</v>
      </c>
      <c r="H65" s="121">
        <f t="shared" ref="H65" si="5">SUM(C65:G65)</f>
        <v>350000</v>
      </c>
      <c r="J65" s="187">
        <f>H65-'PE-PARTIDA'!H65</f>
        <v>0</v>
      </c>
    </row>
    <row r="66" spans="1:10" x14ac:dyDescent="0.25">
      <c r="A66" s="1">
        <f>'Administración Recursos'!A66</f>
        <v>3121</v>
      </c>
      <c r="B66" s="175" t="str">
        <f>'Administración Recursos'!B66</f>
        <v>Servicio de gas</v>
      </c>
      <c r="C66" s="66">
        <f>Electromecánica!C66+Alimentarias!C66+Innovación!C66+Administración!C66+Investigación!C66+'Desarrollo Academico CEIN'!C66+'Servicios Escolares'!C66+Vinculación!C66+Planeación!C66+Calidad!C66+'Administración Recursos'!C66</f>
        <v>0</v>
      </c>
      <c r="D66" s="66">
        <f>Electromecánica!D66+Alimentarias!D66+Innovación!D66+Administración!D66+Investigación!D66+'Desarrollo Academico CEIN'!D66+'Servicios Escolares'!D66+Vinculación!D66+Planeación!D66+Calidad!D66+'Administración Recursos'!D66</f>
        <v>19792</v>
      </c>
      <c r="E66" s="66">
        <f>Electromecánica!E66+Alimentarias!E66+Innovación!E66+Administración!E66+Investigación!E66+'Desarrollo Academico CEIN'!E66+'Servicios Escolares'!E66+Vinculación!E66+Planeación!E66+Calidad!E66+'Administración Recursos'!E66</f>
        <v>0</v>
      </c>
      <c r="F66" s="66">
        <f>Electromecánica!F66+Alimentarias!F66+Innovación!F66+Administración!F66+Investigación!F66+'Desarrollo Academico CEIN'!F66+'Servicios Escolares'!F66+Vinculación!F66+Planeación!F66+Calidad!F66+'Administración Recursos'!F66</f>
        <v>0</v>
      </c>
      <c r="G66" s="66">
        <f>Electromecánica!G66+Alimentarias!G66+Innovación!G66+Administración!G66+Investigación!G66+'Desarrollo Academico CEIN'!G66+'Servicios Escolares'!G66+Vinculación!G66+Planeación!G66+Calidad!G66+'Administración Recursos'!G66</f>
        <v>0</v>
      </c>
      <c r="H66" s="121">
        <f t="shared" ref="H66:H108" si="6">SUM(C66:G66)</f>
        <v>19792</v>
      </c>
      <c r="J66" s="187">
        <f>H66-'PE-PARTIDA'!H66</f>
        <v>0</v>
      </c>
    </row>
    <row r="67" spans="1:10" x14ac:dyDescent="0.25">
      <c r="A67" s="1">
        <f>'Administración Recursos'!A67</f>
        <v>3141</v>
      </c>
      <c r="B67" s="175" t="str">
        <f>'Administración Recursos'!B67</f>
        <v>Telefonía tradicional</v>
      </c>
      <c r="C67" s="66">
        <f>Electromecánica!C67+Alimentarias!C67+Innovación!C67+Administración!C67+Investigación!C67+'Desarrollo Academico CEIN'!C67+'Servicios Escolares'!C67+Vinculación!C67+Planeación!C67+Calidad!C67+'Administración Recursos'!C67</f>
        <v>0</v>
      </c>
      <c r="D67" s="66">
        <f>Electromecánica!D67+Alimentarias!D67+Innovación!D67+Administración!D67+Investigación!D67+'Desarrollo Academico CEIN'!D67+'Servicios Escolares'!D67+Vinculación!D67+Planeación!D67+Calidad!D67+'Administración Recursos'!D67</f>
        <v>0</v>
      </c>
      <c r="E67" s="66">
        <f>Electromecánica!E67+Alimentarias!E67+Innovación!E67+Administración!E67+Investigación!E67+'Desarrollo Academico CEIN'!E67+'Servicios Escolares'!E67+Vinculación!E67+Planeación!E67+Calidad!E67+'Administración Recursos'!E67</f>
        <v>0</v>
      </c>
      <c r="F67" s="66">
        <f>Electromecánica!F67+Alimentarias!F67+Innovación!F67+Administración!F67+Investigación!F67+'Desarrollo Academico CEIN'!F67+'Servicios Escolares'!F67+Vinculación!F67+Planeación!F67+Calidad!F67+'Administración Recursos'!F67</f>
        <v>0</v>
      </c>
      <c r="G67" s="66">
        <f>Electromecánica!G67+Alimentarias!G67+Innovación!G67+Administración!G67+Investigación!G67+'Desarrollo Academico CEIN'!G67+'Servicios Escolares'!G67+Vinculación!G67+Planeación!G67+Calidad!G67+'Administración Recursos'!G67</f>
        <v>0</v>
      </c>
      <c r="H67" s="121">
        <f t="shared" si="6"/>
        <v>0</v>
      </c>
      <c r="J67" s="187">
        <f>H67-'PE-PARTIDA'!H67</f>
        <v>0</v>
      </c>
    </row>
    <row r="68" spans="1:10" ht="30" x14ac:dyDescent="0.25">
      <c r="A68" s="1">
        <f>'Administración Recursos'!A68</f>
        <v>3171</v>
      </c>
      <c r="B68" s="175" t="str">
        <f>'Administración Recursos'!B68</f>
        <v>Servicios de acceso de internet, redes y procesamiento de información</v>
      </c>
      <c r="C68" s="66">
        <f>Electromecánica!C68+Alimentarias!C68+Innovación!C68+Administración!C68+Investigación!C68+'Desarrollo Academico CEIN'!C68+'Servicios Escolares'!C68+Vinculación!C68+Planeación!C68+Calidad!C68+'Administración Recursos'!C68</f>
        <v>260000</v>
      </c>
      <c r="D68" s="66">
        <f>Electromecánica!D68+Alimentarias!D68+Innovación!D68+Administración!D68+Investigación!D68+'Desarrollo Academico CEIN'!D68+'Servicios Escolares'!D68+Vinculación!D68+Planeación!D68+Calidad!D68+'Administración Recursos'!D68</f>
        <v>0</v>
      </c>
      <c r="E68" s="66">
        <f>Electromecánica!E68+Alimentarias!E68+Innovación!E68+Administración!E68+Investigación!E68+'Desarrollo Academico CEIN'!E68+'Servicios Escolares'!E68+Vinculación!E68+Planeación!E68+Calidad!E68+'Administración Recursos'!E68</f>
        <v>50000</v>
      </c>
      <c r="F68" s="66">
        <f>Electromecánica!F68+Alimentarias!F68+Innovación!F68+Administración!F68+Investigación!F68+'Desarrollo Academico CEIN'!F68+'Servicios Escolares'!F68+Vinculación!F68+Planeación!F68+Calidad!F68+'Administración Recursos'!F68</f>
        <v>10000</v>
      </c>
      <c r="G68" s="66">
        <f>Electromecánica!G68+Alimentarias!G68+Innovación!G68+Administración!G68+Investigación!G68+'Desarrollo Academico CEIN'!G68+'Servicios Escolares'!G68+Vinculación!G68+Planeación!G68+Calidad!G68+'Administración Recursos'!G68</f>
        <v>0</v>
      </c>
      <c r="H68" s="121">
        <f t="shared" si="6"/>
        <v>320000</v>
      </c>
      <c r="J68" s="187">
        <f>H68-'PE-PARTIDA'!H68</f>
        <v>0</v>
      </c>
    </row>
    <row r="69" spans="1:10" x14ac:dyDescent="0.25">
      <c r="A69" s="1">
        <f>'Administración Recursos'!A69</f>
        <v>3181</v>
      </c>
      <c r="B69" s="175" t="str">
        <f>'Administración Recursos'!B69</f>
        <v>Servicio postal</v>
      </c>
      <c r="C69" s="66">
        <f>Electromecánica!C69+Alimentarias!C69+Innovación!C69+Administración!C69+Investigación!C69+'Desarrollo Academico CEIN'!C69+'Servicios Escolares'!C69+Vinculación!C69+Planeación!C69+Calidad!C69+'Administración Recursos'!C69</f>
        <v>4712</v>
      </c>
      <c r="D69" s="66">
        <f>Electromecánica!D69+Alimentarias!D69+Innovación!D69+Administración!D69+Investigación!D69+'Desarrollo Academico CEIN'!D69+'Servicios Escolares'!D69+Vinculación!D69+Planeación!D69+Calidad!D69+'Administración Recursos'!D69</f>
        <v>0</v>
      </c>
      <c r="E69" s="66">
        <f>Electromecánica!E69+Alimentarias!E69+Innovación!E69+Administración!E69+Investigación!E69+'Desarrollo Academico CEIN'!E69+'Servicios Escolares'!E69+Vinculación!E69+Planeación!E69+Calidad!E69+'Administración Recursos'!E69</f>
        <v>4000</v>
      </c>
      <c r="F69" s="66">
        <f>Electromecánica!F69+Alimentarias!F69+Innovación!F69+Administración!F69+Investigación!F69+'Desarrollo Academico CEIN'!F69+'Servicios Escolares'!F69+Vinculación!F69+Planeación!F69+Calidad!F69+'Administración Recursos'!F69</f>
        <v>0</v>
      </c>
      <c r="G69" s="66">
        <f>Electromecánica!G69+Alimentarias!G69+Innovación!G69+Administración!G69+Investigación!G69+'Desarrollo Academico CEIN'!G69+'Servicios Escolares'!G69+Vinculación!G69+Planeación!G69+Calidad!G69+'Administración Recursos'!G69</f>
        <v>0</v>
      </c>
      <c r="H69" s="121">
        <f t="shared" si="6"/>
        <v>8712</v>
      </c>
      <c r="J69" s="187">
        <f>H69-'PE-PARTIDA'!H69</f>
        <v>0</v>
      </c>
    </row>
    <row r="70" spans="1:10" x14ac:dyDescent="0.25">
      <c r="A70" s="1">
        <f>'Administración Recursos'!A70</f>
        <v>3221</v>
      </c>
      <c r="B70" s="175" t="str">
        <f>'Administración Recursos'!B70</f>
        <v>Arrendamientos de edificios</v>
      </c>
      <c r="C70" s="66">
        <f>Electromecánica!C70+Alimentarias!C70+Innovación!C70+Administración!C70+Investigación!C70+'Desarrollo Academico CEIN'!C70+'Servicios Escolares'!C70+Vinculación!C70+Planeación!C70+Calidad!C70+'Administración Recursos'!C70</f>
        <v>24000</v>
      </c>
      <c r="D70" s="66">
        <f>Electromecánica!D70+Alimentarias!D70+Innovación!D70+Administración!D70+Investigación!D70+'Desarrollo Academico CEIN'!D70+'Servicios Escolares'!D70+Vinculación!D70+Planeación!D70+Calidad!D70+'Administración Recursos'!D70</f>
        <v>0</v>
      </c>
      <c r="E70" s="66">
        <f>Electromecánica!E70+Alimentarias!E70+Innovación!E70+Administración!E70+Investigación!E70+'Desarrollo Academico CEIN'!E70+'Servicios Escolares'!E70+Vinculación!E70+Planeación!E70+Calidad!E70+'Administración Recursos'!E70</f>
        <v>0</v>
      </c>
      <c r="F70" s="66">
        <f>Electromecánica!F70+Alimentarias!F70+Innovación!F70+Administración!F70+Investigación!F70+'Desarrollo Academico CEIN'!F70+'Servicios Escolares'!F70+Vinculación!F70+Planeación!F70+Calidad!F70+'Administración Recursos'!F70</f>
        <v>0</v>
      </c>
      <c r="G70" s="66">
        <f>Electromecánica!G70+Alimentarias!G70+Innovación!G70+Administración!G70+Investigación!G70+'Desarrollo Academico CEIN'!G70+'Servicios Escolares'!G70+Vinculación!G70+Planeación!G70+Calidad!G70+'Administración Recursos'!G70</f>
        <v>0</v>
      </c>
      <c r="H70" s="121">
        <f t="shared" si="6"/>
        <v>24000</v>
      </c>
      <c r="J70" s="187">
        <f>H70-'PE-PARTIDA'!H70</f>
        <v>0</v>
      </c>
    </row>
    <row r="71" spans="1:10" ht="30" x14ac:dyDescent="0.25">
      <c r="A71" s="1">
        <f>'Administración Recursos'!A71</f>
        <v>3261</v>
      </c>
      <c r="B71" s="175" t="str">
        <f>'Administración Recursos'!B71</f>
        <v>Arrendamiento de maquinaria, otros equipos y herramientas</v>
      </c>
      <c r="C71" s="66">
        <f>Electromecánica!C71+Alimentarias!C71+Innovación!C71+Administración!C71+Investigación!C71+'Desarrollo Academico CEIN'!C71+'Servicios Escolares'!C71+Vinculación!C71+Planeación!C71+Calidad!C71+'Administración Recursos'!C71</f>
        <v>0</v>
      </c>
      <c r="D71" s="66">
        <f>Electromecánica!D71+Alimentarias!D71+Innovación!D71+Administración!D71+Investigación!D71+'Desarrollo Academico CEIN'!D71+'Servicios Escolares'!D71+Vinculación!D71+Planeación!D71+Calidad!D71+'Administración Recursos'!D71</f>
        <v>18000</v>
      </c>
      <c r="E71" s="66">
        <f>Electromecánica!E71+Alimentarias!E71+Innovación!E71+Administración!E71+Investigación!E71+'Desarrollo Academico CEIN'!E71+'Servicios Escolares'!E71+Vinculación!E71+Planeación!E71+Calidad!E71+'Administración Recursos'!E71</f>
        <v>10000</v>
      </c>
      <c r="F71" s="66">
        <f>Electromecánica!F71+Alimentarias!F71+Innovación!F71+Administración!F71+Investigación!F71+'Desarrollo Academico CEIN'!F71+'Servicios Escolares'!F71+Vinculación!F71+Planeación!F71+Calidad!F71+'Administración Recursos'!F71</f>
        <v>57000</v>
      </c>
      <c r="G71" s="66">
        <f>Electromecánica!G71+Alimentarias!G71+Innovación!G71+Administración!G71+Investigación!G71+'Desarrollo Academico CEIN'!G71+'Servicios Escolares'!G71+Vinculación!G71+Planeación!G71+Calidad!G71+'Administración Recursos'!G71</f>
        <v>0</v>
      </c>
      <c r="H71" s="121">
        <f t="shared" si="6"/>
        <v>85000</v>
      </c>
      <c r="J71" s="187">
        <f>H71-'PE-PARTIDA'!H71</f>
        <v>0</v>
      </c>
    </row>
    <row r="72" spans="1:10" x14ac:dyDescent="0.25">
      <c r="A72" s="1">
        <f>'Administración Recursos'!A72</f>
        <v>3291</v>
      </c>
      <c r="B72" s="175" t="str">
        <f>'Administración Recursos'!B72</f>
        <v>Arrendamientos especiales</v>
      </c>
      <c r="C72" s="66">
        <f>Electromecánica!C72+Alimentarias!C72+Innovación!C72+Administración!C72+Investigación!C72+'Desarrollo Academico CEIN'!C72+'Servicios Escolares'!C72+Vinculación!C72+Planeación!C72+Calidad!C72+'Administración Recursos'!C72</f>
        <v>0</v>
      </c>
      <c r="D72" s="66">
        <f>Electromecánica!D72+Alimentarias!D72+Innovación!D72+Administración!D72+Investigación!D72+'Desarrollo Academico CEIN'!D72+'Servicios Escolares'!D72+Vinculación!D72+Planeación!D72+Calidad!D72+'Administración Recursos'!D72</f>
        <v>65000</v>
      </c>
      <c r="E72" s="66">
        <f>Electromecánica!E72+Alimentarias!E72+Innovación!E72+Administración!E72+Investigación!E72+'Desarrollo Academico CEIN'!E72+'Servicios Escolares'!E72+Vinculación!E72+Planeación!E72+Calidad!E72+'Administración Recursos'!E72</f>
        <v>0</v>
      </c>
      <c r="F72" s="66">
        <f>Electromecánica!F72+Alimentarias!F72+Innovación!F72+Administración!F72+Investigación!F72+'Desarrollo Academico CEIN'!F72+'Servicios Escolares'!F72+Vinculación!F72+Planeación!F72+Calidad!F72+'Administración Recursos'!F72</f>
        <v>0</v>
      </c>
      <c r="G72" s="66">
        <f>Electromecánica!G72+Alimentarias!G72+Innovación!G72+Administración!G72+Investigación!G72+'Desarrollo Academico CEIN'!G72+'Servicios Escolares'!G72+Vinculación!G72+Planeación!G72+Calidad!G72+'Administración Recursos'!G72</f>
        <v>0</v>
      </c>
      <c r="H72" s="121">
        <f t="shared" si="6"/>
        <v>65000</v>
      </c>
      <c r="J72" s="187">
        <f>H72-'PE-PARTIDA'!H72</f>
        <v>0</v>
      </c>
    </row>
    <row r="73" spans="1:10" ht="30" x14ac:dyDescent="0.25">
      <c r="A73" s="1">
        <f>'Administración Recursos'!A73</f>
        <v>3311</v>
      </c>
      <c r="B73" s="175" t="str">
        <f>'Administración Recursos'!B73</f>
        <v>Servicios legales, de contabilidad, auditoría y relacionados</v>
      </c>
      <c r="C73" s="66">
        <f>Electromecánica!C73+Alimentarias!C73+Innovación!C73+Administración!C73+Investigación!C73+'Desarrollo Academico CEIN'!C73+'Servicios Escolares'!C73+Vinculación!C73+Planeación!C73+Calidad!C73+'Administración Recursos'!C73</f>
        <v>0</v>
      </c>
      <c r="D73" s="66">
        <f>Electromecánica!D73+Alimentarias!D73+Innovación!D73+Administración!D73+Investigación!D73+'Desarrollo Academico CEIN'!D73+'Servicios Escolares'!D73+Vinculación!D73+Planeación!D73+Calidad!D73+'Administración Recursos'!D73</f>
        <v>0</v>
      </c>
      <c r="E73" s="66">
        <f>Electromecánica!E73+Alimentarias!E73+Innovación!E73+Administración!E73+Investigación!E73+'Desarrollo Academico CEIN'!E73+'Servicios Escolares'!E73+Vinculación!E73+Planeación!E73+Calidad!E73+'Administración Recursos'!E73</f>
        <v>239467</v>
      </c>
      <c r="F73" s="66">
        <f>Electromecánica!F73+Alimentarias!F73+Innovación!F73+Administración!F73+Investigación!F73+'Desarrollo Academico CEIN'!F73+'Servicios Escolares'!F73+Vinculación!F73+Planeación!F73+Calidad!F73+'Administración Recursos'!F73</f>
        <v>0</v>
      </c>
      <c r="G73" s="66">
        <f>Electromecánica!G73+Alimentarias!G73+Innovación!G73+Administración!G73+Investigación!G73+'Desarrollo Academico CEIN'!G73+'Servicios Escolares'!G73+Vinculación!G73+Planeación!G73+Calidad!G73+'Administración Recursos'!G73</f>
        <v>0</v>
      </c>
      <c r="H73" s="121">
        <f t="shared" si="6"/>
        <v>239467</v>
      </c>
      <c r="J73" s="187">
        <f>H73-'PE-PARTIDA'!H73</f>
        <v>0</v>
      </c>
    </row>
    <row r="74" spans="1:10" ht="30" x14ac:dyDescent="0.25">
      <c r="A74" s="1">
        <f>'Administración Recursos'!A74</f>
        <v>3321</v>
      </c>
      <c r="B74" s="175" t="str">
        <f>'Administración Recursos'!B74</f>
        <v>Servicios de diseño, arquitectura, ingeniería y actividades relacionadas</v>
      </c>
      <c r="C74" s="66">
        <f>Electromecánica!C74+Alimentarias!C74+Innovación!C74+Administración!C74+Investigación!C74+'Desarrollo Academico CEIN'!C74+'Servicios Escolares'!C74+Vinculación!C74+Planeación!C74+Calidad!C74+'Administración Recursos'!C74</f>
        <v>0</v>
      </c>
      <c r="D74" s="66">
        <f>Electromecánica!D74+Alimentarias!D74+Innovación!D74+Administración!D74+Investigación!D74+'Desarrollo Academico CEIN'!D74+'Servicios Escolares'!D74+Vinculación!D74+Planeación!D74+Calidad!D74+'Administración Recursos'!D74</f>
        <v>14665</v>
      </c>
      <c r="E74" s="66">
        <f>Electromecánica!E74+Alimentarias!E74+Innovación!E74+Administración!E74+Investigación!E74+'Desarrollo Academico CEIN'!E74+'Servicios Escolares'!E74+Vinculación!E74+Planeación!E74+Calidad!E74+'Administración Recursos'!E74</f>
        <v>21000</v>
      </c>
      <c r="F74" s="66">
        <f>Electromecánica!F74+Alimentarias!F74+Innovación!F74+Administración!F74+Investigación!F74+'Desarrollo Academico CEIN'!F74+'Servicios Escolares'!F74+Vinculación!F74+Planeación!F74+Calidad!F74+'Administración Recursos'!F74</f>
        <v>0</v>
      </c>
      <c r="G74" s="66">
        <f>Electromecánica!G74+Alimentarias!G74+Innovación!G74+Administración!G74+Investigación!G74+'Desarrollo Academico CEIN'!G74+'Servicios Escolares'!G74+Vinculación!G74+Planeación!G74+Calidad!G74+'Administración Recursos'!G74</f>
        <v>0</v>
      </c>
      <c r="H74" s="121">
        <f t="shared" si="6"/>
        <v>35665</v>
      </c>
      <c r="J74" s="187">
        <f>H74-'PE-PARTIDA'!H74</f>
        <v>0</v>
      </c>
    </row>
    <row r="75" spans="1:10" ht="30" x14ac:dyDescent="0.25">
      <c r="A75" s="1">
        <f>'Administración Recursos'!A75</f>
        <v>3331</v>
      </c>
      <c r="B75" s="175" t="str">
        <f>'Administración Recursos'!B75</f>
        <v>Servicios de consultoria administrativa e informática</v>
      </c>
      <c r="C75" s="66">
        <f>Electromecánica!C75+Alimentarias!C75+Innovación!C75+Administración!C75+Investigación!C75+'Desarrollo Academico CEIN'!C75+'Servicios Escolares'!C75+Vinculación!C75+Planeación!C75+Calidad!C75+'Administración Recursos'!C75</f>
        <v>0</v>
      </c>
      <c r="D75" s="66">
        <f>Electromecánica!D75+Alimentarias!D75+Innovación!D75+Administración!D75+Investigación!D75+'Desarrollo Academico CEIN'!D75+'Servicios Escolares'!D75+Vinculación!D75+Planeación!D75+Calidad!D75+'Administración Recursos'!D75</f>
        <v>0</v>
      </c>
      <c r="E75" s="66">
        <f>Electromecánica!E75+Alimentarias!E75+Innovación!E75+Administración!E75+Investigación!E75+'Desarrollo Academico CEIN'!E75+'Servicios Escolares'!E75+Vinculación!E75+Planeación!E75+Calidad!E75+'Administración Recursos'!E75</f>
        <v>173733</v>
      </c>
      <c r="F75" s="66">
        <f>Electromecánica!F75+Alimentarias!F75+Innovación!F75+Administración!F75+Investigación!F75+'Desarrollo Academico CEIN'!F75+'Servicios Escolares'!F75+Vinculación!F75+Planeación!F75+Calidad!F75+'Administración Recursos'!F75</f>
        <v>244000</v>
      </c>
      <c r="G75" s="66">
        <f>Electromecánica!G75+Alimentarias!G75+Innovación!G75+Administración!G75+Investigación!G75+'Desarrollo Academico CEIN'!G75+'Servicios Escolares'!G75+Vinculación!G75+Planeación!G75+Calidad!G75+'Administración Recursos'!G75</f>
        <v>0</v>
      </c>
      <c r="H75" s="121">
        <f t="shared" si="6"/>
        <v>417733</v>
      </c>
      <c r="J75" s="187">
        <f>H75-'PE-PARTIDA'!H75</f>
        <v>0</v>
      </c>
    </row>
    <row r="76" spans="1:10" x14ac:dyDescent="0.25">
      <c r="A76" s="1">
        <f>'Administración Recursos'!A76</f>
        <v>3341</v>
      </c>
      <c r="B76" s="175" t="str">
        <f>'Administración Recursos'!B76</f>
        <v>Capacitación institucional</v>
      </c>
      <c r="C76" s="66">
        <f>Electromecánica!C76+Alimentarias!C76+Innovación!C76+Administración!C76+Investigación!C76+'Desarrollo Academico CEIN'!C76+'Servicios Escolares'!C76+Vinculación!C76+Planeación!C76+Calidad!C76+'Administración Recursos'!C76</f>
        <v>0</v>
      </c>
      <c r="D76" s="66">
        <f>Electromecánica!D76+Alimentarias!D76+Innovación!D76+Administración!D76+Investigación!D76+'Desarrollo Academico CEIN'!D76+'Servicios Escolares'!D76+Vinculación!D76+Planeación!D76+Calidad!D76+'Administración Recursos'!D76</f>
        <v>10710</v>
      </c>
      <c r="E76" s="66">
        <f>Electromecánica!E76+Alimentarias!E76+Innovación!E76+Administración!E76+Investigación!E76+'Desarrollo Academico CEIN'!E76+'Servicios Escolares'!E76+Vinculación!E76+Planeación!E76+Calidad!E76+'Administración Recursos'!E76</f>
        <v>0</v>
      </c>
      <c r="F76" s="66">
        <f>Electromecánica!F76+Alimentarias!F76+Innovación!F76+Administración!F76+Investigación!F76+'Desarrollo Academico CEIN'!F76+'Servicios Escolares'!F76+Vinculación!F76+Planeación!F76+Calidad!F76+'Administración Recursos'!F76</f>
        <v>0</v>
      </c>
      <c r="G76" s="66">
        <f>Electromecánica!G76+Alimentarias!G76+Innovación!G76+Administración!G76+Investigación!G76+'Desarrollo Academico CEIN'!G76+'Servicios Escolares'!G76+Vinculación!G76+Planeación!G76+Calidad!G76+'Administración Recursos'!G76</f>
        <v>0</v>
      </c>
      <c r="H76" s="121">
        <f t="shared" si="6"/>
        <v>10710</v>
      </c>
      <c r="J76" s="187">
        <f>H76-'PE-PARTIDA'!H76</f>
        <v>0</v>
      </c>
    </row>
    <row r="77" spans="1:10" x14ac:dyDescent="0.25">
      <c r="A77" s="1">
        <f>'Administración Recursos'!A77</f>
        <v>3342</v>
      </c>
      <c r="B77" s="175" t="str">
        <f>'Administración Recursos'!B77</f>
        <v>Capacitación especializada</v>
      </c>
      <c r="C77" s="66">
        <f>Electromecánica!C77+Alimentarias!C77+Innovación!C77+Administración!C77+Investigación!C77+'Desarrollo Academico CEIN'!C77+'Servicios Escolares'!C77+Vinculación!C77+Planeación!C77+Calidad!C77+'Administración Recursos'!C77</f>
        <v>0</v>
      </c>
      <c r="D77" s="66">
        <f>Electromecánica!D77+Alimentarias!D77+Innovación!D77+Administración!D77+Investigación!D77+'Desarrollo Academico CEIN'!D77+'Servicios Escolares'!D77+Vinculación!D77+Planeación!D77+Calidad!D77+'Administración Recursos'!D77</f>
        <v>0</v>
      </c>
      <c r="E77" s="66">
        <f>Electromecánica!E77+Alimentarias!E77+Innovación!E77+Administración!E77+Investigación!E77+'Desarrollo Academico CEIN'!E77+'Servicios Escolares'!E77+Vinculación!E77+Planeación!E77+Calidad!E77+'Administración Recursos'!E77</f>
        <v>0</v>
      </c>
      <c r="F77" s="66">
        <f>Electromecánica!F77+Alimentarias!F77+Innovación!F77+Administración!F77+Investigación!F77+'Desarrollo Academico CEIN'!F77+'Servicios Escolares'!F77+Vinculación!F77+Planeación!F77+Calidad!F77+'Administración Recursos'!F77</f>
        <v>250000</v>
      </c>
      <c r="G77" s="66">
        <f>Electromecánica!G77+Alimentarias!G77+Innovación!G77+Administración!G77+Investigación!G77+'Desarrollo Academico CEIN'!G77+'Servicios Escolares'!G77+Vinculación!G77+Planeación!G77+Calidad!G77+'Administración Recursos'!G77</f>
        <v>0</v>
      </c>
      <c r="H77" s="121">
        <f t="shared" si="6"/>
        <v>250000</v>
      </c>
      <c r="J77" s="187">
        <f>H77-'PE-PARTIDA'!H77</f>
        <v>0</v>
      </c>
    </row>
    <row r="78" spans="1:10" x14ac:dyDescent="0.25">
      <c r="A78" s="1">
        <f>'Administración Recursos'!A78</f>
        <v>3361</v>
      </c>
      <c r="B78" s="175" t="str">
        <f>'Administración Recursos'!B78</f>
        <v>Servicios de apoyo administrativo</v>
      </c>
      <c r="C78" s="66">
        <f>Electromecánica!C78+Alimentarias!C78+Innovación!C78+Administración!C78+Investigación!C78+'Desarrollo Academico CEIN'!C78+'Servicios Escolares'!C78+Vinculación!C78+Planeación!C78+Calidad!C78+'Administración Recursos'!C78</f>
        <v>0</v>
      </c>
      <c r="D78" s="66">
        <f>Electromecánica!D78+Alimentarias!D78+Innovación!D78+Administración!D78+Investigación!D78+'Desarrollo Academico CEIN'!D78+'Servicios Escolares'!D78+Vinculación!D78+Planeación!D78+Calidad!D78+'Administración Recursos'!D78</f>
        <v>0</v>
      </c>
      <c r="E78" s="66">
        <f>Electromecánica!E78+Alimentarias!E78+Innovación!E78+Administración!E78+Investigación!E78+'Desarrollo Academico CEIN'!E78+'Servicios Escolares'!E78+Vinculación!E78+Planeación!E78+Calidad!E78+'Administración Recursos'!E78</f>
        <v>5000</v>
      </c>
      <c r="F78" s="66">
        <f>Electromecánica!F78+Alimentarias!F78+Innovación!F78+Administración!F78+Investigación!F78+'Desarrollo Academico CEIN'!F78+'Servicios Escolares'!F78+Vinculación!F78+Planeación!F78+Calidad!F78+'Administración Recursos'!F78</f>
        <v>0</v>
      </c>
      <c r="G78" s="66">
        <f>Electromecánica!G78+Alimentarias!G78+Innovación!G78+Administración!G78+Investigación!G78+'Desarrollo Academico CEIN'!G78+'Servicios Escolares'!G78+Vinculación!G78+Planeación!G78+Calidad!G78+'Administración Recursos'!G78</f>
        <v>0</v>
      </c>
      <c r="H78" s="121">
        <f t="shared" si="6"/>
        <v>5000</v>
      </c>
      <c r="J78" s="187">
        <f>H78-'PE-PARTIDA'!H78</f>
        <v>0</v>
      </c>
    </row>
    <row r="79" spans="1:10" x14ac:dyDescent="0.25">
      <c r="A79" s="1">
        <f>'Administración Recursos'!A79</f>
        <v>3362</v>
      </c>
      <c r="B79" s="175" t="str">
        <f>'Administración Recursos'!B79</f>
        <v>Impresiones de papelería oficial</v>
      </c>
      <c r="C79" s="66">
        <f>Electromecánica!C79+Alimentarias!C79+Innovación!C79+Administración!C79+Investigación!C79+'Desarrollo Academico CEIN'!C79+'Servicios Escolares'!C79+Vinculación!C79+Planeación!C79+Calidad!C79+'Administración Recursos'!C79</f>
        <v>0</v>
      </c>
      <c r="D79" s="66">
        <f>Electromecánica!D79+Alimentarias!D79+Innovación!D79+Administración!D79+Investigación!D79+'Desarrollo Academico CEIN'!D79+'Servicios Escolares'!D79+Vinculación!D79+Planeación!D79+Calidad!D79+'Administración Recursos'!D79</f>
        <v>0</v>
      </c>
      <c r="E79" s="66">
        <f>Electromecánica!E79+Alimentarias!E79+Innovación!E79+Administración!E79+Investigación!E79+'Desarrollo Academico CEIN'!E79+'Servicios Escolares'!E79+Vinculación!E79+Planeación!E79+Calidad!E79+'Administración Recursos'!E79</f>
        <v>50000</v>
      </c>
      <c r="F79" s="66">
        <f>Electromecánica!F79+Alimentarias!F79+Innovación!F79+Administración!F79+Investigación!F79+'Desarrollo Academico CEIN'!F79+'Servicios Escolares'!F79+Vinculación!F79+Planeación!F79+Calidad!F79+'Administración Recursos'!F79</f>
        <v>0</v>
      </c>
      <c r="G79" s="66">
        <f>Electromecánica!G79+Alimentarias!G79+Innovación!G79+Administración!G79+Investigación!G79+'Desarrollo Academico CEIN'!G79+'Servicios Escolares'!G79+Vinculación!G79+Planeación!G79+Calidad!G79+'Administración Recursos'!G79</f>
        <v>0</v>
      </c>
      <c r="H79" s="121">
        <f t="shared" si="6"/>
        <v>50000</v>
      </c>
      <c r="J79" s="187">
        <f>H79-'PE-PARTIDA'!H79</f>
        <v>0</v>
      </c>
    </row>
    <row r="80" spans="1:10" ht="30" x14ac:dyDescent="0.25">
      <c r="A80" s="1">
        <f>'Administración Recursos'!A80</f>
        <v>3363</v>
      </c>
      <c r="B80" s="175" t="str">
        <f>'Administración Recursos'!B80</f>
        <v>Servicios de impresión de material informativo derivado de la operación y administracion</v>
      </c>
      <c r="C80" s="66">
        <f>Electromecánica!C80+Alimentarias!C80+Innovación!C80+Administración!C80+Investigación!C80+'Desarrollo Academico CEIN'!C80+'Servicios Escolares'!C80+Vinculación!C80+Planeación!C80+Calidad!C80+'Administración Recursos'!C80</f>
        <v>0</v>
      </c>
      <c r="D80" s="66">
        <f>Electromecánica!D80+Alimentarias!D80+Innovación!D80+Administración!D80+Investigación!D80+'Desarrollo Academico CEIN'!D80+'Servicios Escolares'!D80+Vinculación!D80+Planeación!D80+Calidad!D80+'Administración Recursos'!D80</f>
        <v>0</v>
      </c>
      <c r="E80" s="66">
        <f>Electromecánica!E80+Alimentarias!E80+Innovación!E80+Administración!E80+Investigación!E80+'Desarrollo Academico CEIN'!E80+'Servicios Escolares'!E80+Vinculación!E80+Planeación!E80+Calidad!E80+'Administración Recursos'!E80</f>
        <v>0</v>
      </c>
      <c r="F80" s="66">
        <f>Electromecánica!F80+Alimentarias!F80+Innovación!F80+Administración!F80+Investigación!F80+'Desarrollo Academico CEIN'!F80+'Servicios Escolares'!F80+Vinculación!F80+Planeación!F80+Calidad!F80+'Administración Recursos'!F80</f>
        <v>13618</v>
      </c>
      <c r="G80" s="66">
        <f>Electromecánica!G80+Alimentarias!G80+Innovación!G80+Administración!G80+Investigación!G80+'Desarrollo Academico CEIN'!G80+'Servicios Escolares'!G80+Vinculación!G80+Planeación!G80+Calidad!G80+'Administración Recursos'!G80</f>
        <v>0</v>
      </c>
      <c r="H80" s="121">
        <f t="shared" si="6"/>
        <v>13618</v>
      </c>
      <c r="J80" s="187">
        <f>H80-'PE-PARTIDA'!H80</f>
        <v>0</v>
      </c>
    </row>
    <row r="81" spans="1:10" ht="45" x14ac:dyDescent="0.25">
      <c r="A81" s="1">
        <f>'Administración Recursos'!A81</f>
        <v>3365</v>
      </c>
      <c r="B81" s="175" t="str">
        <f>'Administración Recursos'!B81</f>
        <v>Informacion en medios masivos derivadas de la operación y administracion de las dependencias y entidades</v>
      </c>
      <c r="C81" s="66">
        <f>Electromecánica!C81+Alimentarias!C81+Innovación!C81+Administración!C81+Investigación!C81+'Desarrollo Academico CEIN'!C81+'Servicios Escolares'!C81+Vinculación!C81+Planeación!C81+Calidad!C81+'Administración Recursos'!C81</f>
        <v>0</v>
      </c>
      <c r="D81" s="66">
        <f>Electromecánica!D81+Alimentarias!D81+Innovación!D81+Administración!D81+Investigación!D81+'Desarrollo Academico CEIN'!D81+'Servicios Escolares'!D81+Vinculación!D81+Planeación!D81+Calidad!D81+'Administración Recursos'!D81</f>
        <v>0</v>
      </c>
      <c r="E81" s="66">
        <f>Electromecánica!E81+Alimentarias!E81+Innovación!E81+Administración!E81+Investigación!E81+'Desarrollo Academico CEIN'!E81+'Servicios Escolares'!E81+Vinculación!E81+Planeación!E81+Calidad!E81+'Administración Recursos'!E81</f>
        <v>0</v>
      </c>
      <c r="F81" s="66">
        <f>Electromecánica!F81+Alimentarias!F81+Innovación!F81+Administración!F81+Investigación!F81+'Desarrollo Academico CEIN'!F81+'Servicios Escolares'!F81+Vinculación!F81+Planeación!F81+Calidad!F81+'Administración Recursos'!F81</f>
        <v>0</v>
      </c>
      <c r="G81" s="66">
        <f>Electromecánica!G81+Alimentarias!G81+Innovación!G81+Administración!G81+Investigación!G81+'Desarrollo Academico CEIN'!G81+'Servicios Escolares'!G81+Vinculación!G81+Planeación!G81+Calidad!G81+'Administración Recursos'!G81</f>
        <v>0</v>
      </c>
      <c r="H81" s="121">
        <f t="shared" si="6"/>
        <v>0</v>
      </c>
      <c r="J81" s="187">
        <f>H81-'PE-PARTIDA'!H81</f>
        <v>0</v>
      </c>
    </row>
    <row r="82" spans="1:10" x14ac:dyDescent="0.25">
      <c r="A82" s="1">
        <f>'Administración Recursos'!A82</f>
        <v>3366</v>
      </c>
      <c r="B82" s="175" t="str">
        <f>'Administración Recursos'!B82</f>
        <v>Servicios de digitalización</v>
      </c>
      <c r="C82" s="66">
        <f>Electromecánica!C82+Alimentarias!C82+Innovación!C82+Administración!C82+Investigación!C82+'Desarrollo Academico CEIN'!C82+'Servicios Escolares'!C82+Vinculación!C82+Planeación!C82+Calidad!C82+'Administración Recursos'!C82</f>
        <v>0</v>
      </c>
      <c r="D82" s="66">
        <f>Electromecánica!D82+Alimentarias!D82+Innovación!D82+Administración!D82+Investigación!D82+'Desarrollo Academico CEIN'!D82+'Servicios Escolares'!D82+Vinculación!D82+Planeación!D82+Calidad!D82+'Administración Recursos'!D82</f>
        <v>30000</v>
      </c>
      <c r="E82" s="66">
        <f>Electromecánica!E82+Alimentarias!E82+Innovación!E82+Administración!E82+Investigación!E82+'Desarrollo Academico CEIN'!E82+'Servicios Escolares'!E82+Vinculación!E82+Planeación!E82+Calidad!E82+'Administración Recursos'!E82</f>
        <v>0</v>
      </c>
      <c r="F82" s="66">
        <f>Electromecánica!F82+Alimentarias!F82+Innovación!F82+Administración!F82+Investigación!F82+'Desarrollo Academico CEIN'!F82+'Servicios Escolares'!F82+Vinculación!F82+Planeación!F82+Calidad!F82+'Administración Recursos'!F82</f>
        <v>0</v>
      </c>
      <c r="G82" s="66">
        <f>Electromecánica!G82+Alimentarias!G82+Innovación!G82+Administración!G82+Investigación!G82+'Desarrollo Academico CEIN'!G82+'Servicios Escolares'!G82+Vinculación!G82+Planeación!G82+Calidad!G82+'Administración Recursos'!G82</f>
        <v>0</v>
      </c>
      <c r="H82" s="121">
        <f t="shared" si="6"/>
        <v>30000</v>
      </c>
      <c r="J82" s="187">
        <f>H82-'PE-PARTIDA'!H82</f>
        <v>0</v>
      </c>
    </row>
    <row r="83" spans="1:10" x14ac:dyDescent="0.25">
      <c r="A83" s="1">
        <f>'Administración Recursos'!A83</f>
        <v>3381</v>
      </c>
      <c r="B83" s="175" t="str">
        <f>'Administración Recursos'!B83</f>
        <v>Servicios de vigilancia</v>
      </c>
      <c r="C83" s="66">
        <f>Electromecánica!C83+Alimentarias!C83+Innovación!C83+Administración!C83+Investigación!C83+'Desarrollo Academico CEIN'!C83+'Servicios Escolares'!C83+Vinculación!C83+Planeación!C83+Calidad!C83+'Administración Recursos'!C83</f>
        <v>0</v>
      </c>
      <c r="D83" s="66">
        <f>Electromecánica!D83+Alimentarias!D83+Innovación!D83+Administración!D83+Investigación!D83+'Desarrollo Academico CEIN'!D83+'Servicios Escolares'!D83+Vinculación!D83+Planeación!D83+Calidad!D83+'Administración Recursos'!D83</f>
        <v>0</v>
      </c>
      <c r="E83" s="66">
        <f>Electromecánica!E83+Alimentarias!E83+Innovación!E83+Administración!E83+Investigación!E83+'Desarrollo Academico CEIN'!E83+'Servicios Escolares'!E83+Vinculación!E83+Planeación!E83+Calidad!E83+'Administración Recursos'!E83</f>
        <v>0</v>
      </c>
      <c r="F83" s="66">
        <f>Electromecánica!F83+Alimentarias!F83+Innovación!F83+Administración!F83+Investigación!F83+'Desarrollo Academico CEIN'!F83+'Servicios Escolares'!F83+Vinculación!F83+Planeación!F83+Calidad!F83+'Administración Recursos'!F83</f>
        <v>0</v>
      </c>
      <c r="G83" s="66">
        <f>Electromecánica!G83+Alimentarias!G83+Innovación!G83+Administración!G83+Investigación!G83+'Desarrollo Academico CEIN'!G83+'Servicios Escolares'!G83+Vinculación!G83+Planeación!G83+Calidad!G83+'Administración Recursos'!G83</f>
        <v>0</v>
      </c>
      <c r="H83" s="121">
        <f t="shared" si="6"/>
        <v>0</v>
      </c>
      <c r="J83" s="187">
        <f>H83-'PE-PARTIDA'!H83</f>
        <v>0</v>
      </c>
    </row>
    <row r="84" spans="1:10" ht="30" x14ac:dyDescent="0.25">
      <c r="A84" s="1">
        <f>'Administración Recursos'!A84</f>
        <v>3391</v>
      </c>
      <c r="B84" s="175" t="str">
        <f>'Administración Recursos'!B84</f>
        <v>Servicios profesionales, científicos y técnicos integrales</v>
      </c>
      <c r="C84" s="66">
        <f>Electromecánica!C84+Alimentarias!C84+Innovación!C84+Administración!C84+Investigación!C84+'Desarrollo Academico CEIN'!C84+'Servicios Escolares'!C84+Vinculación!C84+Planeación!C84+Calidad!C84+'Administración Recursos'!C84</f>
        <v>0</v>
      </c>
      <c r="D84" s="66">
        <f>Electromecánica!D84+Alimentarias!D84+Innovación!D84+Administración!D84+Investigación!D84+'Desarrollo Academico CEIN'!D84+'Servicios Escolares'!D84+Vinculación!D84+Planeación!D84+Calidad!D84+'Administración Recursos'!D84</f>
        <v>0</v>
      </c>
      <c r="E84" s="66">
        <f>Electromecánica!E84+Alimentarias!E84+Innovación!E84+Administración!E84+Investigación!E84+'Desarrollo Academico CEIN'!E84+'Servicios Escolares'!E84+Vinculación!E84+Planeación!E84+Calidad!E84+'Administración Recursos'!E84</f>
        <v>110000</v>
      </c>
      <c r="F84" s="66">
        <f>Electromecánica!F84+Alimentarias!F84+Innovación!F84+Administración!F84+Investigación!F84+'Desarrollo Academico CEIN'!F84+'Servicios Escolares'!F84+Vinculación!F84+Planeación!F84+Calidad!F84+'Administración Recursos'!F84</f>
        <v>153000</v>
      </c>
      <c r="G84" s="66">
        <f>Electromecánica!G84+Alimentarias!G84+Innovación!G84+Administración!G84+Investigación!G84+'Desarrollo Academico CEIN'!G84+'Servicios Escolares'!G84+Vinculación!G84+Planeación!G84+Calidad!G84+'Administración Recursos'!G84</f>
        <v>150000</v>
      </c>
      <c r="H84" s="121">
        <f t="shared" si="6"/>
        <v>413000</v>
      </c>
      <c r="J84" s="187">
        <f>H84-'PE-PARTIDA'!H84</f>
        <v>0</v>
      </c>
    </row>
    <row r="85" spans="1:10" x14ac:dyDescent="0.25">
      <c r="A85" s="1">
        <f>'Administración Recursos'!A85</f>
        <v>3411</v>
      </c>
      <c r="B85" s="175" t="str">
        <f>'Administración Recursos'!B85</f>
        <v>Servicios financieros y bancarios</v>
      </c>
      <c r="C85" s="66">
        <f>Electromecánica!C85+Alimentarias!C85+Innovación!C85+Administración!C85+Investigación!C85+'Desarrollo Academico CEIN'!C85+'Servicios Escolares'!C85+Vinculación!C85+Planeación!C85+Calidad!C85+'Administración Recursos'!C85</f>
        <v>0</v>
      </c>
      <c r="D85" s="66">
        <f>Electromecánica!D85+Alimentarias!D85+Innovación!D85+Administración!D85+Investigación!D85+'Desarrollo Academico CEIN'!D85+'Servicios Escolares'!D85+Vinculación!D85+Planeación!D85+Calidad!D85+'Administración Recursos'!D85</f>
        <v>18000</v>
      </c>
      <c r="E85" s="66">
        <f>Electromecánica!E85+Alimentarias!E85+Innovación!E85+Administración!E85+Investigación!E85+'Desarrollo Academico CEIN'!E85+'Servicios Escolares'!E85+Vinculación!E85+Planeación!E85+Calidad!E85+'Administración Recursos'!E85</f>
        <v>16000</v>
      </c>
      <c r="F85" s="66">
        <f>Electromecánica!F85+Alimentarias!F85+Innovación!F85+Administración!F85+Investigación!F85+'Desarrollo Academico CEIN'!F85+'Servicios Escolares'!F85+Vinculación!F85+Planeación!F85+Calidad!F85+'Administración Recursos'!F85</f>
        <v>0</v>
      </c>
      <c r="G85" s="66">
        <f>Electromecánica!G85+Alimentarias!G85+Innovación!G85+Administración!G85+Investigación!G85+'Desarrollo Academico CEIN'!G85+'Servicios Escolares'!G85+Vinculación!G85+Planeación!G85+Calidad!G85+'Administración Recursos'!G85</f>
        <v>0</v>
      </c>
      <c r="H85" s="121">
        <f t="shared" si="6"/>
        <v>34000</v>
      </c>
      <c r="J85" s="187">
        <f>H85-'PE-PARTIDA'!H85</f>
        <v>0</v>
      </c>
    </row>
    <row r="86" spans="1:10" x14ac:dyDescent="0.25">
      <c r="A86" s="1">
        <f>'Administración Recursos'!A86</f>
        <v>3451</v>
      </c>
      <c r="B86" s="175" t="str">
        <f>'Administración Recursos'!B86</f>
        <v>Seguro de bienes patrimoniales</v>
      </c>
      <c r="C86" s="66">
        <f>Electromecánica!C86+Alimentarias!C86+Innovación!C86+Administración!C86+Investigación!C86+'Desarrollo Academico CEIN'!C86+'Servicios Escolares'!C86+Vinculación!C86+Planeación!C86+Calidad!C86+'Administración Recursos'!C86</f>
        <v>275000</v>
      </c>
      <c r="D86" s="66">
        <f>Electromecánica!D86+Alimentarias!D86+Innovación!D86+Administración!D86+Investigación!D86+'Desarrollo Academico CEIN'!D86+'Servicios Escolares'!D86+Vinculación!D86+Planeación!D86+Calidad!D86+'Administración Recursos'!D86</f>
        <v>0</v>
      </c>
      <c r="E86" s="66">
        <f>Electromecánica!E86+Alimentarias!E86+Innovación!E86+Administración!E86+Investigación!E86+'Desarrollo Academico CEIN'!E86+'Servicios Escolares'!E86+Vinculación!E86+Planeación!E86+Calidad!E86+'Administración Recursos'!E86</f>
        <v>0</v>
      </c>
      <c r="F86" s="66">
        <f>Electromecánica!F86+Alimentarias!F86+Innovación!F86+Administración!F86+Investigación!F86+'Desarrollo Academico CEIN'!F86+'Servicios Escolares'!F86+Vinculación!F86+Planeación!F86+Calidad!F86+'Administración Recursos'!F86</f>
        <v>0</v>
      </c>
      <c r="G86" s="66">
        <f>Electromecánica!G86+Alimentarias!G86+Innovación!G86+Administración!G86+Investigación!G86+'Desarrollo Academico CEIN'!G86+'Servicios Escolares'!G86+Vinculación!G86+Planeación!G86+Calidad!G86+'Administración Recursos'!G86</f>
        <v>0</v>
      </c>
      <c r="H86" s="121">
        <f t="shared" si="6"/>
        <v>275000</v>
      </c>
      <c r="J86" s="187">
        <f>H86-'PE-PARTIDA'!H86</f>
        <v>0</v>
      </c>
    </row>
    <row r="87" spans="1:10" x14ac:dyDescent="0.25">
      <c r="A87" s="1">
        <f>'Administración Recursos'!A87</f>
        <v>3471</v>
      </c>
      <c r="B87" s="175" t="str">
        <f>'Administración Recursos'!B87</f>
        <v>Fletes y maniobras</v>
      </c>
      <c r="C87" s="66">
        <f>Electromecánica!C87+Alimentarias!C87+Innovación!C87+Administración!C87+Investigación!C87+'Desarrollo Academico CEIN'!C87+'Servicios Escolares'!C87+Vinculación!C87+Planeación!C87+Calidad!C87+'Administración Recursos'!C87</f>
        <v>0</v>
      </c>
      <c r="D87" s="66">
        <f>Electromecánica!D87+Alimentarias!D87+Innovación!D87+Administración!D87+Investigación!D87+'Desarrollo Academico CEIN'!D87+'Servicios Escolares'!D87+Vinculación!D87+Planeación!D87+Calidad!D87+'Administración Recursos'!D87</f>
        <v>0</v>
      </c>
      <c r="E87" s="66">
        <f>Electromecánica!E87+Alimentarias!E87+Innovación!E87+Administración!E87+Investigación!E87+'Desarrollo Academico CEIN'!E87+'Servicios Escolares'!E87+Vinculación!E87+Planeación!E87+Calidad!E87+'Administración Recursos'!E87</f>
        <v>20000</v>
      </c>
      <c r="F87" s="66">
        <f>Electromecánica!F87+Alimentarias!F87+Innovación!F87+Administración!F87+Investigación!F87+'Desarrollo Academico CEIN'!F87+'Servicios Escolares'!F87+Vinculación!F87+Planeación!F87+Calidad!F87+'Administración Recursos'!F87</f>
        <v>0</v>
      </c>
      <c r="G87" s="66">
        <f>Electromecánica!G87+Alimentarias!G87+Innovación!G87+Administración!G87+Investigación!G87+'Desarrollo Academico CEIN'!G87+'Servicios Escolares'!G87+Vinculación!G87+Planeación!G87+Calidad!G87+'Administración Recursos'!G87</f>
        <v>0</v>
      </c>
      <c r="H87" s="121">
        <f t="shared" si="6"/>
        <v>20000</v>
      </c>
      <c r="J87" s="187">
        <f>H87-'PE-PARTIDA'!H87</f>
        <v>0</v>
      </c>
    </row>
    <row r="88" spans="1:10" ht="30" x14ac:dyDescent="0.25">
      <c r="A88" s="1">
        <f>'Administración Recursos'!A88</f>
        <v>3511</v>
      </c>
      <c r="B88" s="175" t="str">
        <f>'Administración Recursos'!B88</f>
        <v>Conservación y mantenimiento menor de inmuebles</v>
      </c>
      <c r="C88" s="66">
        <f>Electromecánica!C88+Alimentarias!C88+Innovación!C88+Administración!C88+Investigación!C88+'Desarrollo Academico CEIN'!C88+'Servicios Escolares'!C88+Vinculación!C88+Planeación!C88+Calidad!C88+'Administración Recursos'!C88</f>
        <v>0</v>
      </c>
      <c r="D88" s="66">
        <f>Electromecánica!D88+Alimentarias!D88+Innovación!D88+Administración!D88+Investigación!D88+'Desarrollo Academico CEIN'!D88+'Servicios Escolares'!D88+Vinculación!D88+Planeación!D88+Calidad!D88+'Administración Recursos'!D88</f>
        <v>0</v>
      </c>
      <c r="E88" s="66">
        <f>Electromecánica!E88+Alimentarias!E88+Innovación!E88+Administración!E88+Investigación!E88+'Desarrollo Academico CEIN'!E88+'Servicios Escolares'!E88+Vinculación!E88+Planeación!E88+Calidad!E88+'Administración Recursos'!E88</f>
        <v>90000</v>
      </c>
      <c r="F88" s="66">
        <f>Electromecánica!F88+Alimentarias!F88+Innovación!F88+Administración!F88+Investigación!F88+'Desarrollo Academico CEIN'!F88+'Servicios Escolares'!F88+Vinculación!F88+Planeación!F88+Calidad!F88+'Administración Recursos'!F88</f>
        <v>0</v>
      </c>
      <c r="G88" s="66">
        <f>Electromecánica!G88+Alimentarias!G88+Innovación!G88+Administración!G88+Investigación!G88+'Desarrollo Academico CEIN'!G88+'Servicios Escolares'!G88+Vinculación!G88+Planeación!G88+Calidad!G88+'Administración Recursos'!G88</f>
        <v>0</v>
      </c>
      <c r="H88" s="121">
        <f t="shared" si="6"/>
        <v>90000</v>
      </c>
      <c r="J88" s="187">
        <f>H88-'PE-PARTIDA'!H88</f>
        <v>0</v>
      </c>
    </row>
    <row r="89" spans="1:10" ht="30" x14ac:dyDescent="0.25">
      <c r="A89" s="1">
        <f>'Administración Recursos'!A89</f>
        <v>3521</v>
      </c>
      <c r="B89" s="175" t="str">
        <f>'Administración Recursos'!B89</f>
        <v>Instalación, reparación y mantenimiento de mobiliario y equipo de administración</v>
      </c>
      <c r="C89" s="66">
        <f>Electromecánica!C89+Alimentarias!C89+Innovación!C89+Administración!C89+Investigación!C89+'Desarrollo Academico CEIN'!C89+'Servicios Escolares'!C89+Vinculación!C89+Planeación!C89+Calidad!C89+'Administración Recursos'!C89</f>
        <v>0</v>
      </c>
      <c r="D89" s="66">
        <f>Electromecánica!D89+Alimentarias!D89+Innovación!D89+Administración!D89+Investigación!D89+'Desarrollo Academico CEIN'!D89+'Servicios Escolares'!D89+Vinculación!D89+Planeación!D89+Calidad!D89+'Administración Recursos'!D89</f>
        <v>0</v>
      </c>
      <c r="E89" s="66">
        <f>Electromecánica!E89+Alimentarias!E89+Innovación!E89+Administración!E89+Investigación!E89+'Desarrollo Academico CEIN'!E89+'Servicios Escolares'!E89+Vinculación!E89+Planeación!E89+Calidad!E89+'Administración Recursos'!E89</f>
        <v>0</v>
      </c>
      <c r="F89" s="66">
        <f>Electromecánica!F89+Alimentarias!F89+Innovación!F89+Administración!F89+Investigación!F89+'Desarrollo Academico CEIN'!F89+'Servicios Escolares'!F89+Vinculación!F89+Planeación!F89+Calidad!F89+'Administración Recursos'!F89</f>
        <v>0</v>
      </c>
      <c r="G89" s="66">
        <f>Electromecánica!G89+Alimentarias!G89+Innovación!G89+Administración!G89+Investigación!G89+'Desarrollo Academico CEIN'!G89+'Servicios Escolares'!G89+Vinculación!G89+Planeación!G89+Calidad!G89+'Administración Recursos'!G89</f>
        <v>0</v>
      </c>
      <c r="H89" s="121">
        <f t="shared" si="6"/>
        <v>0</v>
      </c>
      <c r="J89" s="187">
        <f>H89-'PE-PARTIDA'!H89</f>
        <v>0</v>
      </c>
    </row>
    <row r="90" spans="1:10" ht="45" x14ac:dyDescent="0.25">
      <c r="A90" s="1">
        <f>'Administración Recursos'!A90</f>
        <v>3531</v>
      </c>
      <c r="B90" s="175" t="str">
        <f>'Administración Recursos'!B90</f>
        <v>Instalación, reparación y mantenimiento de equipo de cómputo y tecnologías de la información</v>
      </c>
      <c r="C90" s="66">
        <f>Electromecánica!C90+Alimentarias!C90+Innovación!C90+Administración!C90+Investigación!C90+'Desarrollo Academico CEIN'!C90+'Servicios Escolares'!C90+Vinculación!C90+Planeación!C90+Calidad!C90+'Administración Recursos'!C90</f>
        <v>0</v>
      </c>
      <c r="D90" s="66">
        <f>Electromecánica!D90+Alimentarias!D90+Innovación!D90+Administración!D90+Investigación!D90+'Desarrollo Academico CEIN'!D90+'Servicios Escolares'!D90+Vinculación!D90+Planeación!D90+Calidad!D90+'Administración Recursos'!D90</f>
        <v>0</v>
      </c>
      <c r="E90" s="66">
        <f>Electromecánica!E90+Alimentarias!E90+Innovación!E90+Administración!E90+Investigación!E90+'Desarrollo Academico CEIN'!E90+'Servicios Escolares'!E90+Vinculación!E90+Planeación!E90+Calidad!E90+'Administración Recursos'!E90</f>
        <v>20000</v>
      </c>
      <c r="F90" s="66">
        <f>Electromecánica!F90+Alimentarias!F90+Innovación!F90+Administración!F90+Investigación!F90+'Desarrollo Academico CEIN'!F90+'Servicios Escolares'!F90+Vinculación!F90+Planeación!F90+Calidad!F90+'Administración Recursos'!F90</f>
        <v>0</v>
      </c>
      <c r="G90" s="66">
        <f>Electromecánica!G90+Alimentarias!G90+Innovación!G90+Administración!G90+Investigación!G90+'Desarrollo Academico CEIN'!G90+'Servicios Escolares'!G90+Vinculación!G90+Planeación!G90+Calidad!G90+'Administración Recursos'!G90</f>
        <v>0</v>
      </c>
      <c r="H90" s="121">
        <f t="shared" si="6"/>
        <v>20000</v>
      </c>
      <c r="J90" s="187">
        <f>H90-'PE-PARTIDA'!H90</f>
        <v>0</v>
      </c>
    </row>
    <row r="91" spans="1:10" ht="30" x14ac:dyDescent="0.25">
      <c r="A91" s="1">
        <f>'Administración Recursos'!A91</f>
        <v>3541</v>
      </c>
      <c r="B91" s="175" t="str">
        <f>'Administración Recursos'!B91</f>
        <v>Instalación, reparación y mantenimiento de equipo e instrumental médico y de laboratorio</v>
      </c>
      <c r="C91" s="66">
        <f>Electromecánica!C91+Alimentarias!C91+Innovación!C91+Administración!C91+Investigación!C91+'Desarrollo Academico CEIN'!C91+'Servicios Escolares'!C91+Vinculación!C91+Planeación!C91+Calidad!C91+'Administración Recursos'!C91</f>
        <v>0</v>
      </c>
      <c r="D91" s="66">
        <f>Electromecánica!D91+Alimentarias!D91+Innovación!D91+Administración!D91+Investigación!D91+'Desarrollo Academico CEIN'!D91+'Servicios Escolares'!D91+Vinculación!D91+Planeación!D91+Calidad!D91+'Administración Recursos'!D91</f>
        <v>0</v>
      </c>
      <c r="E91" s="66">
        <f>Electromecánica!E91+Alimentarias!E91+Innovación!E91+Administración!E91+Investigación!E91+'Desarrollo Academico CEIN'!E91+'Servicios Escolares'!E91+Vinculación!E91+Planeación!E91+Calidad!E91+'Administración Recursos'!E91</f>
        <v>130000</v>
      </c>
      <c r="F91" s="66">
        <f>Electromecánica!F91+Alimentarias!F91+Innovación!F91+Administración!F91+Investigación!F91+'Desarrollo Academico CEIN'!F91+'Servicios Escolares'!F91+Vinculación!F91+Planeación!F91+Calidad!F91+'Administración Recursos'!F91</f>
        <v>0</v>
      </c>
      <c r="G91" s="66">
        <f>Electromecánica!G91+Alimentarias!G91+Innovación!G91+Administración!G91+Investigación!G91+'Desarrollo Academico CEIN'!G91+'Servicios Escolares'!G91+Vinculación!G91+Planeación!G91+Calidad!G91+'Administración Recursos'!G91</f>
        <v>0</v>
      </c>
      <c r="H91" s="121">
        <f t="shared" si="6"/>
        <v>130000</v>
      </c>
      <c r="J91" s="187">
        <f>H91-'PE-PARTIDA'!H91</f>
        <v>0</v>
      </c>
    </row>
    <row r="92" spans="1:10" ht="30" x14ac:dyDescent="0.25">
      <c r="A92" s="1">
        <f>'Administración Recursos'!A92</f>
        <v>3551</v>
      </c>
      <c r="B92" s="175" t="str">
        <f>'Administración Recursos'!B92</f>
        <v>Reparación y mantenimiento de equipo de transporte</v>
      </c>
      <c r="C92" s="66">
        <f>Electromecánica!C92+Alimentarias!C92+Innovación!C92+Administración!C92+Investigación!C92+'Desarrollo Academico CEIN'!C92+'Servicios Escolares'!C92+Vinculación!C92+Planeación!C92+Calidad!C92+'Administración Recursos'!C92</f>
        <v>0</v>
      </c>
      <c r="D92" s="66">
        <f>Electromecánica!D92+Alimentarias!D92+Innovación!D92+Administración!D92+Investigación!D92+'Desarrollo Academico CEIN'!D92+'Servicios Escolares'!D92+Vinculación!D92+Planeación!D92+Calidad!D92+'Administración Recursos'!D92</f>
        <v>0</v>
      </c>
      <c r="E92" s="66">
        <f>Electromecánica!E92+Alimentarias!E92+Innovación!E92+Administración!E92+Investigación!E92+'Desarrollo Academico CEIN'!E92+'Servicios Escolares'!E92+Vinculación!E92+Planeación!E92+Calidad!E92+'Administración Recursos'!E92</f>
        <v>15000</v>
      </c>
      <c r="F92" s="66">
        <f>Electromecánica!F92+Alimentarias!F92+Innovación!F92+Administración!F92+Investigación!F92+'Desarrollo Academico CEIN'!F92+'Servicios Escolares'!F92+Vinculación!F92+Planeación!F92+Calidad!F92+'Administración Recursos'!F92</f>
        <v>40000</v>
      </c>
      <c r="G92" s="66">
        <f>Electromecánica!G92+Alimentarias!G92+Innovación!G92+Administración!G92+Investigación!G92+'Desarrollo Academico CEIN'!G92+'Servicios Escolares'!G92+Vinculación!G92+Planeación!G92+Calidad!G92+'Administración Recursos'!G92</f>
        <v>0</v>
      </c>
      <c r="H92" s="121">
        <f t="shared" si="6"/>
        <v>55000</v>
      </c>
      <c r="J92" s="187">
        <f>H92-'PE-PARTIDA'!H92</f>
        <v>0</v>
      </c>
    </row>
    <row r="93" spans="1:10" ht="30" x14ac:dyDescent="0.25">
      <c r="A93" s="1">
        <f>'Administración Recursos'!A93</f>
        <v>3571</v>
      </c>
      <c r="B93" s="175" t="str">
        <f>'Administración Recursos'!B93</f>
        <v>Instalación, reparación y mantenimiento de maquinaria y otros equipos</v>
      </c>
      <c r="C93" s="66">
        <f>Electromecánica!C93+Alimentarias!C93+Innovación!C93+Administración!C93+Investigación!C93+'Desarrollo Academico CEIN'!C93+'Servicios Escolares'!C93+Vinculación!C93+Planeación!C93+Calidad!C93+'Administración Recursos'!C93</f>
        <v>0</v>
      </c>
      <c r="D93" s="66">
        <f>Electromecánica!D93+Alimentarias!D93+Innovación!D93+Administración!D93+Investigación!D93+'Desarrollo Academico CEIN'!D93+'Servicios Escolares'!D93+Vinculación!D93+Planeación!D93+Calidad!D93+'Administración Recursos'!D93</f>
        <v>0</v>
      </c>
      <c r="E93" s="66">
        <f>Electromecánica!E93+Alimentarias!E93+Innovación!E93+Administración!E93+Investigación!E93+'Desarrollo Academico CEIN'!E93+'Servicios Escolares'!E93+Vinculación!E93+Planeación!E93+Calidad!E93+'Administración Recursos'!E93</f>
        <v>40000</v>
      </c>
      <c r="F93" s="66">
        <f>Electromecánica!F93+Alimentarias!F93+Innovación!F93+Administración!F93+Investigación!F93+'Desarrollo Academico CEIN'!F93+'Servicios Escolares'!F93+Vinculación!F93+Planeación!F93+Calidad!F93+'Administración Recursos'!F93</f>
        <v>0</v>
      </c>
      <c r="G93" s="66">
        <f>Electromecánica!G93+Alimentarias!G93+Innovación!G93+Administración!G93+Investigación!G93+'Desarrollo Academico CEIN'!G93+'Servicios Escolares'!G93+Vinculación!G93+Planeación!G93+Calidad!G93+'Administración Recursos'!G93</f>
        <v>0</v>
      </c>
      <c r="H93" s="121">
        <f t="shared" si="6"/>
        <v>40000</v>
      </c>
      <c r="J93" s="187">
        <f>H93-'PE-PARTIDA'!H93</f>
        <v>0</v>
      </c>
    </row>
    <row r="94" spans="1:10" ht="30" x14ac:dyDescent="0.25">
      <c r="A94" s="1">
        <f>'Administración Recursos'!A94</f>
        <v>3572</v>
      </c>
      <c r="B94" s="175" t="str">
        <f>'Administración Recursos'!B94</f>
        <v>Mantenimiento y conservación de maquinaria y equipo de trabajo específico</v>
      </c>
      <c r="C94" s="66">
        <f>Electromecánica!C94+Alimentarias!C94+Innovación!C94+Administración!C94+Investigación!C94+'Desarrollo Academico CEIN'!C94+'Servicios Escolares'!C94+Vinculación!C94+Planeación!C94+Calidad!C94+'Administración Recursos'!C94</f>
        <v>0</v>
      </c>
      <c r="D94" s="66">
        <f>Electromecánica!D94+Alimentarias!D94+Innovación!D94+Administración!D94+Investigación!D94+'Desarrollo Academico CEIN'!D94+'Servicios Escolares'!D94+Vinculación!D94+Planeación!D94+Calidad!D94+'Administración Recursos'!D94</f>
        <v>0</v>
      </c>
      <c r="E94" s="66">
        <f>Electromecánica!E94+Alimentarias!E94+Innovación!E94+Administración!E94+Investigación!E94+'Desarrollo Academico CEIN'!E94+'Servicios Escolares'!E94+Vinculación!E94+Planeación!E94+Calidad!E94+'Administración Recursos'!E94</f>
        <v>16000</v>
      </c>
      <c r="F94" s="66">
        <f>Electromecánica!F94+Alimentarias!F94+Innovación!F94+Administración!F94+Investigación!F94+'Desarrollo Academico CEIN'!F94+'Servicios Escolares'!F94+Vinculación!F94+Planeación!F94+Calidad!F94+'Administración Recursos'!F94</f>
        <v>0</v>
      </c>
      <c r="G94" s="66">
        <f>Electromecánica!G94+Alimentarias!G94+Innovación!G94+Administración!G94+Investigación!G94+'Desarrollo Academico CEIN'!G94+'Servicios Escolares'!G94+Vinculación!G94+Planeación!G94+Calidad!G94+'Administración Recursos'!G94</f>
        <v>0</v>
      </c>
      <c r="H94" s="121">
        <f t="shared" si="6"/>
        <v>16000</v>
      </c>
      <c r="J94" s="187">
        <f>H94-'PE-PARTIDA'!H94</f>
        <v>0</v>
      </c>
    </row>
    <row r="95" spans="1:10" x14ac:dyDescent="0.25">
      <c r="A95" s="1">
        <f>'Administración Recursos'!A95</f>
        <v>3581</v>
      </c>
      <c r="B95" s="175" t="str">
        <f>'Administración Recursos'!B95</f>
        <v>Servicios de limpieza y manejo de desechos</v>
      </c>
      <c r="C95" s="66">
        <f>Electromecánica!C95+Alimentarias!C95+Innovación!C95+Administración!C95+Investigación!C95+'Desarrollo Academico CEIN'!C95+'Servicios Escolares'!C95+Vinculación!C95+Planeación!C95+Calidad!C95+'Administración Recursos'!C95</f>
        <v>0</v>
      </c>
      <c r="D95" s="66">
        <f>Electromecánica!D95+Alimentarias!D95+Innovación!D95+Administración!D95+Investigación!D95+'Desarrollo Academico CEIN'!D95+'Servicios Escolares'!D95+Vinculación!D95+Planeación!D95+Calidad!D95+'Administración Recursos'!D95</f>
        <v>0</v>
      </c>
      <c r="E95" s="66">
        <f>Electromecánica!E95+Alimentarias!E95+Innovación!E95+Administración!E95+Investigación!E95+'Desarrollo Academico CEIN'!E95+'Servicios Escolares'!E95+Vinculación!E95+Planeación!E95+Calidad!E95+'Administración Recursos'!E95</f>
        <v>35000</v>
      </c>
      <c r="F95" s="66">
        <f>Electromecánica!F95+Alimentarias!F95+Innovación!F95+Administración!F95+Investigación!F95+'Desarrollo Academico CEIN'!F95+'Servicios Escolares'!F95+Vinculación!F95+Planeación!F95+Calidad!F95+'Administración Recursos'!F95</f>
        <v>0</v>
      </c>
      <c r="G95" s="66">
        <f>Electromecánica!G95+Alimentarias!G95+Innovación!G95+Administración!G95+Investigación!G95+'Desarrollo Academico CEIN'!G95+'Servicios Escolares'!G95+Vinculación!G95+Planeación!G95+Calidad!G95+'Administración Recursos'!G95</f>
        <v>0</v>
      </c>
      <c r="H95" s="121">
        <f t="shared" si="6"/>
        <v>35000</v>
      </c>
      <c r="J95" s="187">
        <f>H95-'PE-PARTIDA'!H95</f>
        <v>0</v>
      </c>
    </row>
    <row r="96" spans="1:10" x14ac:dyDescent="0.25">
      <c r="A96" s="1">
        <f>'Administración Recursos'!A96</f>
        <v>3591</v>
      </c>
      <c r="B96" s="175" t="str">
        <f>'Administración Recursos'!B96</f>
        <v>Servicios de jardinería y fumigación</v>
      </c>
      <c r="C96" s="66">
        <f>Electromecánica!C96+Alimentarias!C96+Innovación!C96+Administración!C96+Investigación!C96+'Desarrollo Academico CEIN'!C96+'Servicios Escolares'!C96+Vinculación!C96+Planeación!C96+Calidad!C96+'Administración Recursos'!C96</f>
        <v>4500</v>
      </c>
      <c r="D96" s="66">
        <f>Electromecánica!D96+Alimentarias!D96+Innovación!D96+Administración!D96+Investigación!D96+'Desarrollo Academico CEIN'!D96+'Servicios Escolares'!D96+Vinculación!D96+Planeación!D96+Calidad!D96+'Administración Recursos'!D96</f>
        <v>0</v>
      </c>
      <c r="E96" s="66">
        <f>Electromecánica!E96+Alimentarias!E96+Innovación!E96+Administración!E96+Investigación!E96+'Desarrollo Academico CEIN'!E96+'Servicios Escolares'!E96+Vinculación!E96+Planeación!E96+Calidad!E96+'Administración Recursos'!E96</f>
        <v>0</v>
      </c>
      <c r="F96" s="66">
        <f>Electromecánica!F96+Alimentarias!F96+Innovación!F96+Administración!F96+Investigación!F96+'Desarrollo Academico CEIN'!F96+'Servicios Escolares'!F96+Vinculación!F96+Planeación!F96+Calidad!F96+'Administración Recursos'!F96</f>
        <v>0</v>
      </c>
      <c r="G96" s="66">
        <f>Electromecánica!G96+Alimentarias!G96+Innovación!G96+Administración!G96+Investigación!G96+'Desarrollo Academico CEIN'!G96+'Servicios Escolares'!G96+Vinculación!G96+Planeación!G96+Calidad!G96+'Administración Recursos'!G96</f>
        <v>0</v>
      </c>
      <c r="H96" s="121">
        <f t="shared" si="6"/>
        <v>4500</v>
      </c>
      <c r="J96" s="187">
        <f>H96-'PE-PARTIDA'!H96</f>
        <v>0</v>
      </c>
    </row>
    <row r="97" spans="1:14" ht="45" x14ac:dyDescent="0.25">
      <c r="A97" s="1">
        <f>'Administración Recursos'!A97</f>
        <v>3621</v>
      </c>
      <c r="B97" s="175" t="str">
        <f>'Administración Recursos'!B97</f>
        <v>Difusión por radio, televisión y otros medios de mensajes comerciales para promover la venta de bienes o servicios</v>
      </c>
      <c r="C97" s="66">
        <f>Electromecánica!C97+Alimentarias!C97+Innovación!C97+Administración!C97+Investigación!C97+'Desarrollo Academico CEIN'!C97+'Servicios Escolares'!C97+Vinculación!C97+Planeación!C97+Calidad!C97+'Administración Recursos'!C97</f>
        <v>0</v>
      </c>
      <c r="D97" s="66">
        <f>Electromecánica!D97+Alimentarias!D97+Innovación!D97+Administración!D97+Investigación!D97+'Desarrollo Academico CEIN'!D97+'Servicios Escolares'!D97+Vinculación!D97+Planeación!D97+Calidad!D97+'Administración Recursos'!D97</f>
        <v>0</v>
      </c>
      <c r="E97" s="66">
        <f>Electromecánica!E97+Alimentarias!E97+Innovación!E97+Administración!E97+Investigación!E97+'Desarrollo Academico CEIN'!E97+'Servicios Escolares'!E97+Vinculación!E97+Planeación!E97+Calidad!E97+'Administración Recursos'!E97</f>
        <v>0</v>
      </c>
      <c r="F97" s="66">
        <f>Electromecánica!F97+Alimentarias!F97+Innovación!F97+Administración!F97+Investigación!F97+'Desarrollo Academico CEIN'!F97+'Servicios Escolares'!F97+Vinculación!F97+Planeación!F97+Calidad!F97+'Administración Recursos'!F97</f>
        <v>211618</v>
      </c>
      <c r="G97" s="66">
        <f>Electromecánica!G97+Alimentarias!G97+Innovación!G97+Administración!G97+Investigación!G97+'Desarrollo Academico CEIN'!G97+'Servicios Escolares'!G97+Vinculación!G97+Planeación!G97+Calidad!G97+'Administración Recursos'!G97</f>
        <v>0</v>
      </c>
      <c r="H97" s="121">
        <f t="shared" si="6"/>
        <v>211618</v>
      </c>
      <c r="J97" s="187">
        <f>H97-'PE-PARTIDA'!H97</f>
        <v>0</v>
      </c>
    </row>
    <row r="98" spans="1:14" ht="30" x14ac:dyDescent="0.25">
      <c r="A98" s="1">
        <f>'Administración Recursos'!A98</f>
        <v>3631</v>
      </c>
      <c r="B98" s="175" t="str">
        <f>'Administración Recursos'!B98</f>
        <v>Servicios de creatividad, preproducción y producción de publicidad, excepto internet</v>
      </c>
      <c r="C98" s="66">
        <f>Electromecánica!C98+Alimentarias!C98+Innovación!C98+Administración!C98+Investigación!C98+'Desarrollo Academico CEIN'!C98+'Servicios Escolares'!C98+Vinculación!C98+Planeación!C98+Calidad!C98+'Administración Recursos'!C98</f>
        <v>0</v>
      </c>
      <c r="D98" s="66">
        <f>Electromecánica!D98+Alimentarias!D98+Innovación!D98+Administración!D98+Investigación!D98+'Desarrollo Academico CEIN'!D98+'Servicios Escolares'!D98+Vinculación!D98+Planeación!D98+Calidad!D98+'Administración Recursos'!D98</f>
        <v>0</v>
      </c>
      <c r="E98" s="66">
        <f>Electromecánica!E98+Alimentarias!E98+Innovación!E98+Administración!E98+Investigación!E98+'Desarrollo Academico CEIN'!E98+'Servicios Escolares'!E98+Vinculación!E98+Planeación!E98+Calidad!E98+'Administración Recursos'!E98</f>
        <v>0</v>
      </c>
      <c r="F98" s="66">
        <f>Electromecánica!F98+Alimentarias!F98+Innovación!F98+Administración!F98+Investigación!F98+'Desarrollo Academico CEIN'!F98+'Servicios Escolares'!F98+Vinculación!F98+Planeación!F98+Calidad!F98+'Administración Recursos'!F98</f>
        <v>0</v>
      </c>
      <c r="G98" s="66">
        <f>Electromecánica!G98+Alimentarias!G98+Innovación!G98+Administración!G98+Investigación!G98+'Desarrollo Academico CEIN'!G98+'Servicios Escolares'!G98+Vinculación!G98+Planeación!G98+Calidad!G98+'Administración Recursos'!G98</f>
        <v>0</v>
      </c>
      <c r="H98" s="121">
        <f t="shared" si="6"/>
        <v>0</v>
      </c>
      <c r="J98" s="187">
        <f>H98-'PE-PARTIDA'!H98</f>
        <v>0</v>
      </c>
    </row>
    <row r="99" spans="1:14" x14ac:dyDescent="0.25">
      <c r="A99" s="1">
        <f>'Administración Recursos'!A99</f>
        <v>3711</v>
      </c>
      <c r="B99" s="175" t="str">
        <f>'Administración Recursos'!B99</f>
        <v>Pasajes aéreos nacionales</v>
      </c>
      <c r="C99" s="66">
        <f>Electromecánica!C99+Alimentarias!C99+Innovación!C99+Administración!C99+Investigación!C99+'Desarrollo Academico CEIN'!C99+'Servicios Escolares'!C99+Vinculación!C99+Planeación!C99+Calidad!C99+'Administración Recursos'!C99</f>
        <v>0</v>
      </c>
      <c r="D99" s="66">
        <f>Electromecánica!D99+Alimentarias!D99+Innovación!D99+Administración!D99+Investigación!D99+'Desarrollo Academico CEIN'!D99+'Servicios Escolares'!D99+Vinculación!D99+Planeación!D99+Calidad!D99+'Administración Recursos'!D99</f>
        <v>0</v>
      </c>
      <c r="E99" s="66">
        <f>Electromecánica!E99+Alimentarias!E99+Innovación!E99+Administración!E99+Investigación!E99+'Desarrollo Academico CEIN'!E99+'Servicios Escolares'!E99+Vinculación!E99+Planeación!E99+Calidad!E99+'Administración Recursos'!E99</f>
        <v>77000</v>
      </c>
      <c r="F99" s="66">
        <f>Electromecánica!F99+Alimentarias!F99+Innovación!F99+Administración!F99+Investigación!F99+'Desarrollo Academico CEIN'!F99+'Servicios Escolares'!F99+Vinculación!F99+Planeación!F99+Calidad!F99+'Administración Recursos'!F99</f>
        <v>0</v>
      </c>
      <c r="G99" s="66">
        <f>Electromecánica!G99+Alimentarias!G99+Innovación!G99+Administración!G99+Investigación!G99+'Desarrollo Academico CEIN'!G99+'Servicios Escolares'!G99+Vinculación!G99+Planeación!G99+Calidad!G99+'Administración Recursos'!G99</f>
        <v>0</v>
      </c>
      <c r="H99" s="121">
        <f t="shared" si="6"/>
        <v>77000</v>
      </c>
      <c r="J99" s="187">
        <f>H99-'PE-PARTIDA'!H99</f>
        <v>0</v>
      </c>
    </row>
    <row r="100" spans="1:14" x14ac:dyDescent="0.25">
      <c r="A100" s="1">
        <f>'Administración Recursos'!A100</f>
        <v>3721</v>
      </c>
      <c r="B100" s="175" t="str">
        <f>'Administración Recursos'!B100</f>
        <v>Pasajes terrestres nacionales</v>
      </c>
      <c r="C100" s="66">
        <f>Electromecánica!C100+Alimentarias!C100+Innovación!C100+Administración!C100+Investigación!C100+'Desarrollo Academico CEIN'!C100+'Servicios Escolares'!C100+Vinculación!C100+Planeación!C100+Calidad!C100+'Administración Recursos'!C100</f>
        <v>0</v>
      </c>
      <c r="D100" s="66">
        <f>Electromecánica!D100+Alimentarias!D100+Innovación!D100+Administración!D100+Investigación!D100+'Desarrollo Academico CEIN'!D100+'Servicios Escolares'!D100+Vinculación!D100+Planeación!D100+Calidad!D100+'Administración Recursos'!D100</f>
        <v>0</v>
      </c>
      <c r="E100" s="66">
        <f>Electromecánica!E100+Alimentarias!E100+Innovación!E100+Administración!E100+Investigación!E100+'Desarrollo Academico CEIN'!E100+'Servicios Escolares'!E100+Vinculación!E100+Planeación!E100+Calidad!E100+'Administración Recursos'!E100</f>
        <v>30000</v>
      </c>
      <c r="F100" s="66">
        <f>Electromecánica!F100+Alimentarias!F100+Innovación!F100+Administración!F100+Investigación!F100+'Desarrollo Academico CEIN'!F100+'Servicios Escolares'!F100+Vinculación!F100+Planeación!F100+Calidad!F100+'Administración Recursos'!F100</f>
        <v>0</v>
      </c>
      <c r="G100" s="66">
        <f>Electromecánica!G100+Alimentarias!G100+Innovación!G100+Administración!G100+Investigación!G100+'Desarrollo Academico CEIN'!G100+'Servicios Escolares'!G100+Vinculación!G100+Planeación!G100+Calidad!G100+'Administración Recursos'!G100</f>
        <v>0</v>
      </c>
      <c r="H100" s="121">
        <f t="shared" si="6"/>
        <v>30000</v>
      </c>
      <c r="J100" s="187">
        <f>H100-'PE-PARTIDA'!H100</f>
        <v>0</v>
      </c>
    </row>
    <row r="101" spans="1:14" x14ac:dyDescent="0.25">
      <c r="A101" s="1">
        <f>'Administración Recursos'!A101</f>
        <v>3751</v>
      </c>
      <c r="B101" s="175" t="str">
        <f>'Administración Recursos'!B101</f>
        <v>Viáticos en el país</v>
      </c>
      <c r="C101" s="66">
        <f>Electromecánica!C101+Alimentarias!C101+Innovación!C101+Administración!C101+Investigación!C101+'Desarrollo Academico CEIN'!C101+'Servicios Escolares'!C101+Vinculación!C101+Planeación!C101+Calidad!C101+'Administración Recursos'!C101</f>
        <v>0</v>
      </c>
      <c r="D101" s="66">
        <f>Electromecánica!D101+Alimentarias!D101+Innovación!D101+Administración!D101+Investigación!D101+'Desarrollo Academico CEIN'!D101+'Servicios Escolares'!D101+Vinculación!D101+Planeación!D101+Calidad!D101+'Administración Recursos'!D101</f>
        <v>0</v>
      </c>
      <c r="E101" s="66">
        <f>Electromecánica!E101+Alimentarias!E101+Innovación!E101+Administración!E101+Investigación!E101+'Desarrollo Academico CEIN'!E101+'Servicios Escolares'!E101+Vinculación!E101+Planeación!E101+Calidad!E101+'Administración Recursos'!E101</f>
        <v>200000</v>
      </c>
      <c r="F101" s="66">
        <f>Electromecánica!F101+Alimentarias!F101+Innovación!F101+Administración!F101+Investigación!F101+'Desarrollo Academico CEIN'!F101+'Servicios Escolares'!F101+Vinculación!F101+Planeación!F101+Calidad!F101+'Administración Recursos'!F101</f>
        <v>0</v>
      </c>
      <c r="G101" s="66">
        <f>Electromecánica!G101+Alimentarias!G101+Innovación!G101+Administración!G101+Investigación!G101+'Desarrollo Academico CEIN'!G101+'Servicios Escolares'!G101+Vinculación!G101+Planeación!G101+Calidad!G101+'Administración Recursos'!G101</f>
        <v>0</v>
      </c>
      <c r="H101" s="121">
        <f t="shared" si="6"/>
        <v>200000</v>
      </c>
      <c r="J101" s="187">
        <f>H101-'PE-PARTIDA'!H101</f>
        <v>0</v>
      </c>
    </row>
    <row r="102" spans="1:14" x14ac:dyDescent="0.25">
      <c r="A102" s="1">
        <f>'Administración Recursos'!A102</f>
        <v>3791</v>
      </c>
      <c r="B102" s="175" t="str">
        <f>'Administración Recursos'!B102</f>
        <v>Otros servicios de traslado y hospedaje</v>
      </c>
      <c r="C102" s="66">
        <f>Electromecánica!C102+Alimentarias!C102+Innovación!C102+Administración!C102+Investigación!C102+'Desarrollo Academico CEIN'!C102+'Servicios Escolares'!C102+Vinculación!C102+Planeación!C102+Calidad!C102+'Administración Recursos'!C102</f>
        <v>0</v>
      </c>
      <c r="D102" s="66">
        <f>Electromecánica!D102+Alimentarias!D102+Innovación!D102+Administración!D102+Investigación!D102+'Desarrollo Academico CEIN'!D102+'Servicios Escolares'!D102+Vinculación!D102+Planeación!D102+Calidad!D102+'Administración Recursos'!D102</f>
        <v>0</v>
      </c>
      <c r="E102" s="66">
        <f>Electromecánica!E102+Alimentarias!E102+Innovación!E102+Administración!E102+Investigación!E102+'Desarrollo Academico CEIN'!E102+'Servicios Escolares'!E102+Vinculación!E102+Planeación!E102+Calidad!E102+'Administración Recursos'!E102</f>
        <v>70000</v>
      </c>
      <c r="F102" s="66">
        <f>Electromecánica!F102+Alimentarias!F102+Innovación!F102+Administración!F102+Investigación!F102+'Desarrollo Academico CEIN'!F102+'Servicios Escolares'!F102+Vinculación!F102+Planeación!F102+Calidad!F102+'Administración Recursos'!F102</f>
        <v>0</v>
      </c>
      <c r="G102" s="66">
        <f>Electromecánica!G102+Alimentarias!G102+Innovación!G102+Administración!G102+Investigación!G102+'Desarrollo Academico CEIN'!G102+'Servicios Escolares'!G102+Vinculación!G102+Planeación!G102+Calidad!G102+'Administración Recursos'!G102</f>
        <v>0</v>
      </c>
      <c r="H102" s="121">
        <f t="shared" si="6"/>
        <v>70000</v>
      </c>
      <c r="J102" s="187">
        <f>H102-'PE-PARTIDA'!H102</f>
        <v>0</v>
      </c>
    </row>
    <row r="103" spans="1:14" x14ac:dyDescent="0.25">
      <c r="A103" s="1">
        <f>'Administración Recursos'!A103</f>
        <v>3811</v>
      </c>
      <c r="B103" s="175" t="str">
        <f>'Administración Recursos'!B103</f>
        <v>Gastos de ceremonial</v>
      </c>
      <c r="C103" s="66">
        <f>Electromecánica!C103+Alimentarias!C103+Innovación!C103+Administración!C103+Investigación!C103+'Desarrollo Academico CEIN'!C103+'Servicios Escolares'!C103+Vinculación!C103+Planeación!C103+Calidad!C103+'Administración Recursos'!C103</f>
        <v>0</v>
      </c>
      <c r="D103" s="66">
        <f>Electromecánica!D103+Alimentarias!D103+Innovación!D103+Administración!D103+Investigación!D103+'Desarrollo Academico CEIN'!D103+'Servicios Escolares'!D103+Vinculación!D103+Planeación!D103+Calidad!D103+'Administración Recursos'!D103</f>
        <v>0</v>
      </c>
      <c r="E103" s="66">
        <f>Electromecánica!E103+Alimentarias!E103+Innovación!E103+Administración!E103+Investigación!E103+'Desarrollo Academico CEIN'!E103+'Servicios Escolares'!E103+Vinculación!E103+Planeación!E103+Calidad!E103+'Administración Recursos'!E103</f>
        <v>0</v>
      </c>
      <c r="F103" s="66">
        <f>Electromecánica!F103+Alimentarias!F103+Innovación!F103+Administración!F103+Investigación!F103+'Desarrollo Academico CEIN'!F103+'Servicios Escolares'!F103+Vinculación!F103+Planeación!F103+Calidad!F103+'Administración Recursos'!F103</f>
        <v>0</v>
      </c>
      <c r="G103" s="66">
        <f>Electromecánica!G103+Alimentarias!G103+Innovación!G103+Administración!G103+Investigación!G103+'Desarrollo Academico CEIN'!G103+'Servicios Escolares'!G103+Vinculación!G103+Planeación!G103+Calidad!G103+'Administración Recursos'!G103</f>
        <v>0</v>
      </c>
      <c r="H103" s="121">
        <f t="shared" si="6"/>
        <v>0</v>
      </c>
      <c r="J103" s="187">
        <f>H103-'PE-PARTIDA'!H103</f>
        <v>0</v>
      </c>
    </row>
    <row r="104" spans="1:14" x14ac:dyDescent="0.25">
      <c r="A104" s="1">
        <f>'Administración Recursos'!A104</f>
        <v>3821</v>
      </c>
      <c r="B104" s="175" t="str">
        <f>'Administración Recursos'!B104</f>
        <v>Gastos de orden social</v>
      </c>
      <c r="C104" s="66">
        <f>Electromecánica!C104+Alimentarias!C104+Innovación!C104+Administración!C104+Investigación!C104+'Desarrollo Academico CEIN'!C104+'Servicios Escolares'!C104+Vinculación!C104+Planeación!C104+Calidad!C104+'Administración Recursos'!C104</f>
        <v>0</v>
      </c>
      <c r="D104" s="66">
        <f>Electromecánica!D104+Alimentarias!D104+Innovación!D104+Administración!D104+Investigación!D104+'Desarrollo Academico CEIN'!D104+'Servicios Escolares'!D104+Vinculación!D104+Planeación!D104+Calidad!D104+'Administración Recursos'!D104</f>
        <v>0</v>
      </c>
      <c r="E104" s="66">
        <f>Electromecánica!E104+Alimentarias!E104+Innovación!E104+Administración!E104+Investigación!E104+'Desarrollo Academico CEIN'!E104+'Servicios Escolares'!E104+Vinculación!E104+Planeación!E104+Calidad!E104+'Administración Recursos'!E104</f>
        <v>10000</v>
      </c>
      <c r="F104" s="66">
        <f>Electromecánica!F104+Alimentarias!F104+Innovación!F104+Administración!F104+Investigación!F104+'Desarrollo Academico CEIN'!F104+'Servicios Escolares'!F104+Vinculación!F104+Planeación!F104+Calidad!F104+'Administración Recursos'!F104</f>
        <v>0</v>
      </c>
      <c r="G104" s="66">
        <f>Electromecánica!G104+Alimentarias!G104+Innovación!G104+Administración!G104+Investigación!G104+'Desarrollo Academico CEIN'!G104+'Servicios Escolares'!G104+Vinculación!G104+Planeación!G104+Calidad!G104+'Administración Recursos'!G104</f>
        <v>0</v>
      </c>
      <c r="H104" s="121">
        <f t="shared" si="6"/>
        <v>10000</v>
      </c>
      <c r="J104" s="187">
        <f>H104-'PE-PARTIDA'!H104</f>
        <v>0</v>
      </c>
    </row>
    <row r="105" spans="1:14" x14ac:dyDescent="0.25">
      <c r="A105" s="1">
        <f>'Administración Recursos'!A105</f>
        <v>3822</v>
      </c>
      <c r="B105" s="175" t="str">
        <f>'Administración Recursos'!B105</f>
        <v>Gastos de orden cultural</v>
      </c>
      <c r="C105" s="66">
        <f>Electromecánica!C105+Alimentarias!C105+Innovación!C105+Administración!C105+Investigación!C105+'Desarrollo Academico CEIN'!C105+'Servicios Escolares'!C105+Vinculación!C105+Planeación!C105+Calidad!C105+'Administración Recursos'!C105</f>
        <v>0</v>
      </c>
      <c r="D105" s="66">
        <f>Electromecánica!D105+Alimentarias!D105+Innovación!D105+Administración!D105+Investigación!D105+'Desarrollo Academico CEIN'!D105+'Servicios Escolares'!D105+Vinculación!D105+Planeación!D105+Calidad!D105+'Administración Recursos'!D105</f>
        <v>0</v>
      </c>
      <c r="E105" s="66">
        <f>Electromecánica!E105+Alimentarias!E105+Innovación!E105+Administración!E105+Investigación!E105+'Desarrollo Academico CEIN'!E105+'Servicios Escolares'!E105+Vinculación!E105+Planeación!E105+Calidad!E105+'Administración Recursos'!E105</f>
        <v>0</v>
      </c>
      <c r="F105" s="66">
        <f>Electromecánica!F105+Alimentarias!F105+Innovación!F105+Administración!F105+Investigación!F105+'Desarrollo Academico CEIN'!F105+'Servicios Escolares'!F105+Vinculación!F105+Planeación!F105+Calidad!F105+'Administración Recursos'!F105</f>
        <v>103000</v>
      </c>
      <c r="G105" s="66">
        <f>Electromecánica!G105+Alimentarias!G105+Innovación!G105+Administración!G105+Investigación!G105+'Desarrollo Academico CEIN'!G105+'Servicios Escolares'!G105+Vinculación!G105+Planeación!G105+Calidad!G105+'Administración Recursos'!G105</f>
        <v>0</v>
      </c>
      <c r="H105" s="121">
        <f t="shared" si="6"/>
        <v>103000</v>
      </c>
      <c r="J105" s="187">
        <f>H105-'PE-PARTIDA'!H105</f>
        <v>0</v>
      </c>
    </row>
    <row r="106" spans="1:14" x14ac:dyDescent="0.25">
      <c r="A106" s="1">
        <f>'Administración Recursos'!A106</f>
        <v>3831</v>
      </c>
      <c r="B106" s="175" t="str">
        <f>'Administración Recursos'!B106</f>
        <v>Congresos y convenciones</v>
      </c>
      <c r="C106" s="66">
        <f>Electromecánica!C106+Alimentarias!C106+Innovación!C106+Administración!C106+Investigación!C106+'Desarrollo Academico CEIN'!C106+'Servicios Escolares'!C106+Vinculación!C106+Planeación!C106+Calidad!C106+'Administración Recursos'!C106</f>
        <v>0</v>
      </c>
      <c r="D106" s="66">
        <f>Electromecánica!D106+Alimentarias!D106+Innovación!D106+Administración!D106+Investigación!D106+'Desarrollo Academico CEIN'!D106+'Servicios Escolares'!D106+Vinculación!D106+Planeación!D106+Calidad!D106+'Administración Recursos'!D106</f>
        <v>0</v>
      </c>
      <c r="E106" s="66">
        <f>Electromecánica!E106+Alimentarias!E106+Innovación!E106+Administración!E106+Investigación!E106+'Desarrollo Academico CEIN'!E106+'Servicios Escolares'!E106+Vinculación!E106+Planeación!E106+Calidad!E106+'Administración Recursos'!E106</f>
        <v>0</v>
      </c>
      <c r="F106" s="66">
        <f>Electromecánica!F106+Alimentarias!F106+Innovación!F106+Administración!F106+Investigación!F106+'Desarrollo Academico CEIN'!F106+'Servicios Escolares'!F106+Vinculación!F106+Planeación!F106+Calidad!F106+'Administración Recursos'!F106</f>
        <v>260000</v>
      </c>
      <c r="G106" s="66">
        <f>Electromecánica!G106+Alimentarias!G106+Innovación!G106+Administración!G106+Investigación!G106+'Desarrollo Academico CEIN'!G106+'Servicios Escolares'!G106+Vinculación!G106+Planeación!G106+Calidad!G106+'Administración Recursos'!G106</f>
        <v>0</v>
      </c>
      <c r="H106" s="121">
        <f t="shared" si="6"/>
        <v>260000</v>
      </c>
      <c r="J106" s="187">
        <f>H106-'PE-PARTIDA'!H106</f>
        <v>0</v>
      </c>
    </row>
    <row r="107" spans="1:14" ht="19.5" customHeight="1" x14ac:dyDescent="0.25">
      <c r="A107" s="1">
        <f>'Administración Recursos'!A107</f>
        <v>3921</v>
      </c>
      <c r="B107" s="175" t="str">
        <f>'Administración Recursos'!B107</f>
        <v>Impuestos y derechos</v>
      </c>
      <c r="C107" s="66">
        <f>Electromecánica!C107+Alimentarias!C107+Innovación!C107+Administración!C107+Investigación!C107+'Desarrollo Academico CEIN'!C107+'Servicios Escolares'!C107+Vinculación!C107+Planeación!C107+Calidad!C107+'Administración Recursos'!C107</f>
        <v>0</v>
      </c>
      <c r="D107" s="66">
        <f>Electromecánica!D107+Alimentarias!D107+Innovación!D107+Administración!D107+Investigación!D107+'Desarrollo Academico CEIN'!D107+'Servicios Escolares'!D107+Vinculación!D107+Planeación!D107+Calidad!D107+'Administración Recursos'!D107</f>
        <v>0</v>
      </c>
      <c r="E107" s="66">
        <f>Electromecánica!E107+Alimentarias!E107+Innovación!E107+Administración!E107+Investigación!E107+'Desarrollo Academico CEIN'!E107+'Servicios Escolares'!E107+Vinculación!E107+Planeación!E107+Calidad!E107+'Administración Recursos'!E107</f>
        <v>94800</v>
      </c>
      <c r="F107" s="66">
        <f>Electromecánica!F107+Alimentarias!F107+Innovación!F107+Administración!F107+Investigación!F107+'Desarrollo Academico CEIN'!F107+'Servicios Escolares'!F107+Vinculación!F107+Planeación!F107+Calidad!F107+'Administración Recursos'!F107</f>
        <v>0</v>
      </c>
      <c r="G107" s="66">
        <f>Electromecánica!G107+Alimentarias!G107+Innovación!G107+Administración!G107+Investigación!G107+'Desarrollo Academico CEIN'!G107+'Servicios Escolares'!G107+Vinculación!G107+Planeación!G107+Calidad!G107+'Administración Recursos'!G107</f>
        <v>0</v>
      </c>
      <c r="H107" s="121">
        <f t="shared" si="6"/>
        <v>94800</v>
      </c>
      <c r="J107" s="187">
        <f>H107-'PE-PARTIDA'!H107</f>
        <v>0</v>
      </c>
      <c r="M107" s="1">
        <f>'Administración Recursos'!M107</f>
        <v>0</v>
      </c>
      <c r="N107" s="175">
        <f>'Administración Recursos'!N107</f>
        <v>0</v>
      </c>
    </row>
    <row r="108" spans="1:14" x14ac:dyDescent="0.25">
      <c r="A108" s="1">
        <f>'Administración Recursos'!A108</f>
        <v>3941</v>
      </c>
      <c r="B108" s="175" t="str">
        <f>'Administración Recursos'!B108</f>
        <v>Laudos laborales</v>
      </c>
      <c r="C108" s="66">
        <f>Electromecánica!C108+Alimentarias!C108+Innovación!C108+Administración!C108+Investigación!C108+'Desarrollo Academico CEIN'!C108+'Servicios Escolares'!C108+Vinculación!C108+Planeación!C108+Calidad!C108+'Administración Recursos'!C108</f>
        <v>0</v>
      </c>
      <c r="D108" s="66">
        <f>Electromecánica!D108+Alimentarias!D108+Innovación!D108+Administración!D108+Investigación!D108+'Desarrollo Academico CEIN'!D108+'Servicios Escolares'!D108+Vinculación!D108+Planeación!D108+Calidad!D108+'Administración Recursos'!D108</f>
        <v>0</v>
      </c>
      <c r="E108" s="66">
        <f>Electromecánica!E108+Alimentarias!E108+Innovación!E108+Administración!E108+Investigación!E108+'Desarrollo Academico CEIN'!E108+'Servicios Escolares'!E108+Vinculación!E108+Planeación!E108+Calidad!E108+'Administración Recursos'!E108</f>
        <v>0</v>
      </c>
      <c r="F108" s="66">
        <f>Electromecánica!F108+Alimentarias!F108+Innovación!F108+Administración!F108+Investigación!F108+'Desarrollo Academico CEIN'!F108+'Servicios Escolares'!F108+Vinculación!F108+Planeación!F108+Calidad!F108+'Administración Recursos'!F108</f>
        <v>150000</v>
      </c>
      <c r="G108" s="66">
        <f>Electromecánica!G108+Alimentarias!G108+Innovación!G108+Administración!G108+Investigación!G108+'Desarrollo Academico CEIN'!G108+'Servicios Escolares'!G108+Vinculación!G108+Planeación!G108+Calidad!G108+'Administración Recursos'!G108</f>
        <v>0</v>
      </c>
      <c r="H108" s="121">
        <f t="shared" si="6"/>
        <v>150000</v>
      </c>
      <c r="J108" s="187">
        <f>H108-'PE-PARTIDA'!H108</f>
        <v>0</v>
      </c>
    </row>
    <row r="109" spans="1:14" x14ac:dyDescent="0.25">
      <c r="A109" s="1"/>
      <c r="C109" s="176">
        <f>SUM(C65:C108)</f>
        <v>908212</v>
      </c>
      <c r="D109" s="176">
        <f t="shared" ref="D109:H109" si="7">SUM(D65:D108)</f>
        <v>176167</v>
      </c>
      <c r="E109" s="176">
        <f t="shared" si="7"/>
        <v>1537000</v>
      </c>
      <c r="F109" s="176">
        <f t="shared" si="7"/>
        <v>1492236</v>
      </c>
      <c r="G109" s="176">
        <f t="shared" si="7"/>
        <v>150000</v>
      </c>
      <c r="H109" s="176">
        <f t="shared" si="7"/>
        <v>4263615</v>
      </c>
      <c r="J109" s="187">
        <f>H109-'PE-PARTIDA'!H109</f>
        <v>0</v>
      </c>
    </row>
    <row r="110" spans="1:14" x14ac:dyDescent="0.25">
      <c r="A110" s="1"/>
      <c r="J110" s="187">
        <f>H110-'PE-PARTIDA'!H110</f>
        <v>0</v>
      </c>
    </row>
    <row r="111" spans="1:14" x14ac:dyDescent="0.25">
      <c r="A111" s="1">
        <f>'Administración Recursos'!A111</f>
        <v>4156</v>
      </c>
      <c r="B111" s="1" t="str">
        <f>'Administración Recursos'!B111</f>
        <v>Transferencias internas otorgadas a entidades paraestatales no empresariales y no financieras para inversión pública</v>
      </c>
      <c r="C111" s="66">
        <f>Electromecánica!C111+Alimentarias!C111+Innovación!C111+Administración!C111+Investigación!C111+'Desarrollo Academico CEIN'!C111+'Servicios Escolares'!C111+Vinculación!C111+Planeación!C111+Calidad!C111+'Administración Recursos'!C111</f>
        <v>0</v>
      </c>
      <c r="D111" s="66">
        <f>Electromecánica!D111+Alimentarias!D111+Innovación!D111+Administración!D111+Investigación!D111+'Desarrollo Academico CEIN'!D111+'Servicios Escolares'!D111+Vinculación!D111+Planeación!D111+Calidad!D111+'Administración Recursos'!D111</f>
        <v>500000</v>
      </c>
      <c r="E111" s="66">
        <f>Electromecánica!E111+Alimentarias!E111+Innovación!E111+Administración!E111+Investigación!E111+'Desarrollo Academico CEIN'!E111+'Servicios Escolares'!E111+Vinculación!E111+Planeación!E111+Calidad!E111+'Administración Recursos'!E111</f>
        <v>0</v>
      </c>
      <c r="F111" s="66">
        <f>Electromecánica!F111+Alimentarias!F111+Innovación!F111+Administración!F111+Investigación!F111+'Desarrollo Academico CEIN'!F111+'Servicios Escolares'!F111+Vinculación!F111+Planeación!F111+Calidad!F111+'Administración Recursos'!F111</f>
        <v>0</v>
      </c>
      <c r="G111" s="66">
        <f>Electromecánica!G111+Alimentarias!G111+Innovación!G111+Administración!G111+Investigación!G111+'Desarrollo Academico CEIN'!G111+'Servicios Escolares'!G111+Vinculación!G111+Planeación!G111+Calidad!G111+'Administración Recursos'!G111</f>
        <v>0</v>
      </c>
      <c r="H111" s="121">
        <f t="shared" ref="H111:H112" si="8">SUM(C111:G111)</f>
        <v>500000</v>
      </c>
      <c r="J111" s="187">
        <f>H111-'PE-PARTIDA'!H111</f>
        <v>0</v>
      </c>
    </row>
    <row r="112" spans="1:14" x14ac:dyDescent="0.25">
      <c r="A112" s="1">
        <v>4246</v>
      </c>
      <c r="B112" s="1" t="s">
        <v>238</v>
      </c>
      <c r="C112" s="66">
        <f>Electromecánica!C112+Alimentarias!C112+Innovación!C112+Administración!C112+Investigación!C112+'Desarrollo Academico CEIN'!C112+'Servicios Escolares'!C112+Vinculación!C112+Planeación!C112+Calidad!C112+'Administración Recursos'!C112</f>
        <v>376517.08</v>
      </c>
      <c r="D112" s="66">
        <f>Electromecánica!D112+Alimentarias!D112+Innovación!D112+Administración!D112+Investigación!D112+'Desarrollo Academico CEIN'!D112+'Servicios Escolares'!D112+Vinculación!D112+Planeación!D112+Calidad!D112+'Administración Recursos'!D112</f>
        <v>0</v>
      </c>
      <c r="E112" s="66">
        <f>Electromecánica!E112+Alimentarias!E112+Innovación!E112+Administración!E112+Investigación!E112+'Desarrollo Academico CEIN'!E112+'Servicios Escolares'!E112+Vinculación!E112+Planeación!E112+Calidad!E112+'Administración Recursos'!E112</f>
        <v>0</v>
      </c>
      <c r="F112" s="66">
        <f>Electromecánica!F112+Alimentarias!F112+Innovación!F112+Administración!F112+Investigación!F112+'Desarrollo Academico CEIN'!F112+'Servicios Escolares'!F112+Vinculación!F112+Planeación!F112+Calidad!F112+'Administración Recursos'!F112</f>
        <v>0</v>
      </c>
      <c r="G112" s="66">
        <f>Electromecánica!G112+Alimentarias!G112+Innovación!G112+Administración!G112+Investigación!G112+'Desarrollo Academico CEIN'!G112+'Servicios Escolares'!G112+Vinculación!G112+Planeación!G112+Calidad!G112+'Administración Recursos'!G112</f>
        <v>0</v>
      </c>
      <c r="H112" s="121">
        <f t="shared" si="8"/>
        <v>376517.08</v>
      </c>
      <c r="J112" s="187">
        <f>H112-'PE-PARTIDA'!H112</f>
        <v>0</v>
      </c>
    </row>
    <row r="113" spans="1:10" x14ac:dyDescent="0.25">
      <c r="A113" s="1"/>
      <c r="C113" s="176">
        <f>SUM(C111:C112)</f>
        <v>376517.08</v>
      </c>
      <c r="D113" s="176">
        <f t="shared" ref="D113:H113" si="9">SUM(D111:D112)</f>
        <v>500000</v>
      </c>
      <c r="E113" s="176">
        <f t="shared" si="9"/>
        <v>0</v>
      </c>
      <c r="F113" s="176">
        <f t="shared" si="9"/>
        <v>0</v>
      </c>
      <c r="G113" s="176">
        <f t="shared" si="9"/>
        <v>0</v>
      </c>
      <c r="H113" s="176">
        <f t="shared" si="9"/>
        <v>876517.08000000007</v>
      </c>
      <c r="J113" s="187">
        <f>H113-'PE-PARTIDA'!H113</f>
        <v>0</v>
      </c>
    </row>
    <row r="114" spans="1:10" x14ac:dyDescent="0.25">
      <c r="A114" s="1"/>
      <c r="J114" s="187">
        <f>H114-'PE-PARTIDA'!H114</f>
        <v>0</v>
      </c>
    </row>
    <row r="115" spans="1:10" x14ac:dyDescent="0.25">
      <c r="A115" s="1">
        <f>'Administración Recursos'!A115</f>
        <v>5111</v>
      </c>
      <c r="B115" s="175" t="str">
        <f>'Administración Recursos'!B115</f>
        <v>Muebles de oficina y estantería</v>
      </c>
      <c r="C115" s="66">
        <f>Electromecánica!C115+Alimentarias!C115+Innovación!C115+Administración!C115+Investigación!C115+'Desarrollo Academico CEIN'!C115+'Servicios Escolares'!C115+Vinculación!C115+Planeación!C115+Calidad!C115+'Administración Recursos'!C115</f>
        <v>0</v>
      </c>
      <c r="D115" s="66">
        <f>Electromecánica!D115+Alimentarias!D115+Innovación!D115+Administración!D115+Investigación!D115+'Desarrollo Academico CEIN'!D115+'Servicios Escolares'!D115+Vinculación!D115+Planeación!D115+Calidad!D115+'Administración Recursos'!D115</f>
        <v>0</v>
      </c>
      <c r="E115" s="66">
        <f>Electromecánica!E115+Alimentarias!E115+Innovación!E115+Administración!E115+Investigación!E115+'Desarrollo Academico CEIN'!E115+'Servicios Escolares'!E115+Vinculación!E115+Planeación!E115+Calidad!E115+'Administración Recursos'!E115</f>
        <v>0</v>
      </c>
      <c r="F115" s="66">
        <f>Electromecánica!F115+Alimentarias!F115+Innovación!F115+Administración!F115+Investigación!F115+'Desarrollo Academico CEIN'!F115+'Servicios Escolares'!F115+Vinculación!F115+Planeación!F115+Calidad!F115+'Administración Recursos'!F115</f>
        <v>50000</v>
      </c>
      <c r="G115" s="66">
        <f>Electromecánica!G115+Alimentarias!G115+Innovación!G115+Administración!G115+Investigación!G115+'Desarrollo Academico CEIN'!G115+'Servicios Escolares'!G115+Vinculación!G115+Planeación!G115+Calidad!G115+'Administración Recursos'!G115</f>
        <v>0</v>
      </c>
      <c r="H115" s="121">
        <f t="shared" ref="H115:H121" si="10">SUM(C115:G115)</f>
        <v>50000</v>
      </c>
      <c r="J115" s="187">
        <f>H115-'PE-PARTIDA'!H115</f>
        <v>0</v>
      </c>
    </row>
    <row r="116" spans="1:10" ht="30" x14ac:dyDescent="0.25">
      <c r="A116" s="1">
        <f>'Administración Recursos'!A116</f>
        <v>5151</v>
      </c>
      <c r="B116" s="175" t="str">
        <f>'Administración Recursos'!B116</f>
        <v>Equipo de cómputo y de tecnología de la información</v>
      </c>
      <c r="C116" s="66">
        <f>Electromecánica!C116+Alimentarias!C116+Innovación!C116+Administración!C116+Investigación!C116+'Desarrollo Academico CEIN'!C116+'Servicios Escolares'!C116+Vinculación!C116+Planeación!C116+Calidad!C116+'Administración Recursos'!C116</f>
        <v>0</v>
      </c>
      <c r="D116" s="66">
        <f>Electromecánica!D116+Alimentarias!D116+Innovación!D116+Administración!D116+Investigación!D116+'Desarrollo Academico CEIN'!D116+'Servicios Escolares'!D116+Vinculación!D116+Planeación!D116+Calidad!D116+'Administración Recursos'!D116</f>
        <v>0</v>
      </c>
      <c r="E116" s="66">
        <f>Electromecánica!E116+Alimentarias!E116+Innovación!E116+Administración!E116+Investigación!E116+'Desarrollo Academico CEIN'!E116+'Servicios Escolares'!E116+Vinculación!E116+Planeación!E116+Calidad!E116+'Administración Recursos'!E116</f>
        <v>0</v>
      </c>
      <c r="F116" s="66">
        <f>Electromecánica!F116+Alimentarias!F116+Innovación!F116+Administración!F116+Investigación!F116+'Desarrollo Academico CEIN'!F116+'Servicios Escolares'!F116+Vinculación!F116+Planeación!F116+Calidad!F116+'Administración Recursos'!F116</f>
        <v>236860</v>
      </c>
      <c r="G116" s="66">
        <f>Electromecánica!G116+Alimentarias!G116+Innovación!G116+Administración!G116+Investigación!G116+'Desarrollo Academico CEIN'!G116+'Servicios Escolares'!G116+Vinculación!G116+Planeación!G116+Calidad!G116+'Administración Recursos'!G116</f>
        <v>0</v>
      </c>
      <c r="H116" s="121">
        <f t="shared" si="10"/>
        <v>236860</v>
      </c>
      <c r="J116" s="187">
        <f>H116-'PE-PARTIDA'!H116</f>
        <v>0</v>
      </c>
    </row>
    <row r="117" spans="1:10" x14ac:dyDescent="0.25">
      <c r="A117" s="1">
        <f>'Administración Recursos'!A117</f>
        <v>5191</v>
      </c>
      <c r="B117" s="175" t="str">
        <f>'Administración Recursos'!B117</f>
        <v>Otros mobiliarios y equipos de administración</v>
      </c>
      <c r="C117" s="66">
        <f>Electromecánica!C117+Alimentarias!C117+Innovación!C117+Administración!C117+Investigación!C117+'Desarrollo Academico CEIN'!C117+'Servicios Escolares'!C117+Vinculación!C117+Planeación!C117+Calidad!C117+'Administración Recursos'!C117</f>
        <v>0</v>
      </c>
      <c r="D117" s="66">
        <f>Electromecánica!D117+Alimentarias!D117+Innovación!D117+Administración!D117+Investigación!D117+'Desarrollo Academico CEIN'!D117+'Servicios Escolares'!D117+Vinculación!D117+Planeación!D117+Calidad!D117+'Administración Recursos'!D117</f>
        <v>0</v>
      </c>
      <c r="E117" s="66">
        <f>Electromecánica!E117+Alimentarias!E117+Innovación!E117+Administración!E117+Investigación!E117+'Desarrollo Academico CEIN'!E117+'Servicios Escolares'!E117+Vinculación!E117+Planeación!E117+Calidad!E117+'Administración Recursos'!E117</f>
        <v>0</v>
      </c>
      <c r="F117" s="66">
        <f>Electromecánica!F117+Alimentarias!F117+Innovación!F117+Administración!F117+Investigación!F117+'Desarrollo Academico CEIN'!F117+'Servicios Escolares'!F117+Vinculación!F117+Planeación!F117+Calidad!F117+'Administración Recursos'!F117</f>
        <v>43000</v>
      </c>
      <c r="G117" s="66">
        <f>Electromecánica!G117+Alimentarias!G117+Innovación!G117+Administración!G117+Investigación!G117+'Desarrollo Academico CEIN'!G117+'Servicios Escolares'!G117+Vinculación!G117+Planeación!G117+Calidad!G117+'Administración Recursos'!G117</f>
        <v>0</v>
      </c>
      <c r="H117" s="121">
        <f t="shared" si="10"/>
        <v>43000</v>
      </c>
      <c r="J117" s="187">
        <f>H117-'PE-PARTIDA'!H117</f>
        <v>0</v>
      </c>
    </row>
    <row r="118" spans="1:10" x14ac:dyDescent="0.25">
      <c r="A118" s="1">
        <f>'Administración Recursos'!A118</f>
        <v>5211</v>
      </c>
      <c r="B118" s="175" t="str">
        <f>'Administración Recursos'!B118</f>
        <v>Equipos y aparatos audiovisuales</v>
      </c>
      <c r="C118" s="66">
        <f>Electromecánica!C118+Alimentarias!C118+Innovación!C118+Administración!C118+Investigación!C118+'Desarrollo Academico CEIN'!C118+'Servicios Escolares'!C118+Vinculación!C118+Planeación!C118+Calidad!C118+'Administración Recursos'!C118</f>
        <v>0</v>
      </c>
      <c r="D118" s="66">
        <f>Electromecánica!D118+Alimentarias!D118+Innovación!D118+Administración!D118+Investigación!D118+'Desarrollo Academico CEIN'!D118+'Servicios Escolares'!D118+Vinculación!D118+Planeación!D118+Calidad!D118+'Administración Recursos'!D118</f>
        <v>0</v>
      </c>
      <c r="E118" s="66">
        <f>Electromecánica!E118+Alimentarias!E118+Innovación!E118+Administración!E118+Investigación!E118+'Desarrollo Academico CEIN'!E118+'Servicios Escolares'!E118+Vinculación!E118+Planeación!E118+Calidad!E118+'Administración Recursos'!E118</f>
        <v>24000</v>
      </c>
      <c r="F118" s="66">
        <f>Electromecánica!F118+Alimentarias!F118+Innovación!F118+Administración!F118+Investigación!F118+'Desarrollo Academico CEIN'!F118+'Servicios Escolares'!F118+Vinculación!F118+Planeación!F118+Calidad!F118+'Administración Recursos'!F118</f>
        <v>0</v>
      </c>
      <c r="G118" s="66">
        <f>Electromecánica!G118+Alimentarias!G118+Innovación!G118+Administración!G118+Investigación!G118+'Desarrollo Academico CEIN'!G118+'Servicios Escolares'!G118+Vinculación!G118+Planeación!G118+Calidad!G118+'Administración Recursos'!G118</f>
        <v>0</v>
      </c>
      <c r="H118" s="121">
        <f t="shared" si="10"/>
        <v>24000</v>
      </c>
      <c r="J118" s="187">
        <f>H118-'PE-PARTIDA'!H118</f>
        <v>0</v>
      </c>
    </row>
    <row r="119" spans="1:10" x14ac:dyDescent="0.25">
      <c r="A119" s="1">
        <f>'Administración Recursos'!A119</f>
        <v>5231</v>
      </c>
      <c r="B119" s="175" t="str">
        <f>'Administración Recursos'!B119</f>
        <v>Cámaras fotográficas y de video</v>
      </c>
      <c r="C119" s="66">
        <f>Electromecánica!C119+Alimentarias!C119+Innovación!C119+Administración!C119+Investigación!C119+'Desarrollo Academico CEIN'!C119+'Servicios Escolares'!C119+Vinculación!C119+Planeación!C119+Calidad!C119+'Administración Recursos'!C119</f>
        <v>0</v>
      </c>
      <c r="D119" s="66">
        <f>Electromecánica!D119+Alimentarias!D119+Innovación!D119+Administración!D119+Investigación!D119+'Desarrollo Academico CEIN'!D119+'Servicios Escolares'!D119+Vinculación!D119+Planeación!D119+Calidad!D119+'Administración Recursos'!D119</f>
        <v>0</v>
      </c>
      <c r="E119" s="66">
        <f>Electromecánica!E119+Alimentarias!E119+Innovación!E119+Administración!E119+Investigación!E119+'Desarrollo Academico CEIN'!E119+'Servicios Escolares'!E119+Vinculación!E119+Planeación!E119+Calidad!E119+'Administración Recursos'!E119</f>
        <v>0</v>
      </c>
      <c r="F119" s="66">
        <f>Electromecánica!F119+Alimentarias!F119+Innovación!F119+Administración!F119+Investigación!F119+'Desarrollo Academico CEIN'!F119+'Servicios Escolares'!F119+Vinculación!F119+Planeación!F119+Calidad!F119+'Administración Recursos'!F119</f>
        <v>15000</v>
      </c>
      <c r="G119" s="66">
        <f>Electromecánica!G119+Alimentarias!G119+Innovación!G119+Administración!G119+Investigación!G119+'Desarrollo Academico CEIN'!G119+'Servicios Escolares'!G119+Vinculación!G119+Planeación!G119+Calidad!G119+'Administración Recursos'!G119</f>
        <v>0</v>
      </c>
      <c r="H119" s="121">
        <f t="shared" si="10"/>
        <v>15000</v>
      </c>
      <c r="J119" s="187">
        <f>H119-'PE-PARTIDA'!H119</f>
        <v>0</v>
      </c>
    </row>
    <row r="120" spans="1:10" ht="30" x14ac:dyDescent="0.25">
      <c r="A120" s="1">
        <f>'Administración Recursos'!A120</f>
        <v>5291</v>
      </c>
      <c r="B120" s="175" t="str">
        <f>'Administración Recursos'!B120</f>
        <v>Otro mobiliario y equipo educacional y recreativo</v>
      </c>
      <c r="C120" s="66">
        <f>Electromecánica!C120+Alimentarias!C120+Innovación!C120+Administración!C120+Investigación!C120+'Desarrollo Academico CEIN'!C120+'Servicios Escolares'!C120+Vinculación!C120+Planeación!C120+Calidad!C120+'Administración Recursos'!C120</f>
        <v>0</v>
      </c>
      <c r="D120" s="66">
        <f>Electromecánica!D120+Alimentarias!D120+Innovación!D120+Administración!D120+Investigación!D120+'Desarrollo Academico CEIN'!D120+'Servicios Escolares'!D120+Vinculación!D120+Planeación!D120+Calidad!D120+'Administración Recursos'!D120</f>
        <v>0</v>
      </c>
      <c r="E120" s="66">
        <f>Electromecánica!E120+Alimentarias!E120+Innovación!E120+Administración!E120+Investigación!E120+'Desarrollo Academico CEIN'!E120+'Servicios Escolares'!E120+Vinculación!E120+Planeación!E120+Calidad!E120+'Administración Recursos'!E120</f>
        <v>0</v>
      </c>
      <c r="F120" s="66">
        <f>Electromecánica!F120+Alimentarias!F120+Innovación!F120+Administración!F120+Investigación!F120+'Desarrollo Academico CEIN'!F120+'Servicios Escolares'!F120+Vinculación!F120+Planeación!F120+Calidad!F120+'Administración Recursos'!F120</f>
        <v>0</v>
      </c>
      <c r="G120" s="66">
        <f>Electromecánica!G120+Alimentarias!G120+Innovación!G120+Administración!G120+Investigación!G120+'Desarrollo Academico CEIN'!G120+'Servicios Escolares'!G120+Vinculación!G120+Planeación!G120+Calidad!G120+'Administración Recursos'!G120</f>
        <v>0</v>
      </c>
      <c r="H120" s="121">
        <f t="shared" si="10"/>
        <v>0</v>
      </c>
      <c r="J120" s="187">
        <f>H120-'PE-PARTIDA'!H120</f>
        <v>0</v>
      </c>
    </row>
    <row r="121" spans="1:10" x14ac:dyDescent="0.25">
      <c r="A121" s="1">
        <f>'Administración Recursos'!A121</f>
        <v>5311</v>
      </c>
      <c r="B121" s="175" t="str">
        <f>'Administración Recursos'!B121</f>
        <v>Equipo médico y de laboratorio</v>
      </c>
      <c r="C121" s="66">
        <f>Electromecánica!C121+Alimentarias!C121+Innovación!C121+Administración!C121+Investigación!C121+'Desarrollo Academico CEIN'!C121+'Servicios Escolares'!C121+Vinculación!C121+Planeación!C121+Calidad!C121+'Administración Recursos'!C121</f>
        <v>0</v>
      </c>
      <c r="D121" s="66">
        <f>Electromecánica!D121+Alimentarias!D121+Innovación!D121+Administración!D121+Investigación!D121+'Desarrollo Academico CEIN'!D121+'Servicios Escolares'!D121+Vinculación!D121+Planeación!D121+Calidad!D121+'Administración Recursos'!D121</f>
        <v>0</v>
      </c>
      <c r="E121" s="66">
        <f>Electromecánica!E121+Alimentarias!E121+Innovación!E121+Administración!E121+Investigación!E121+'Desarrollo Academico CEIN'!E121+'Servicios Escolares'!E121+Vinculación!E121+Planeación!E121+Calidad!E121+'Administración Recursos'!E121</f>
        <v>20000</v>
      </c>
      <c r="F121" s="66">
        <f>Electromecánica!F121+Alimentarias!F121+Innovación!F121+Administración!F121+Investigación!F121+'Desarrollo Academico CEIN'!F121+'Servicios Escolares'!F121+Vinculación!F121+Planeación!F121+Calidad!F121+'Administración Recursos'!F121</f>
        <v>90641.69</v>
      </c>
      <c r="G121" s="66">
        <f>Electromecánica!G121+Alimentarias!G121+Innovación!G121+Administración!G121+Investigación!G121+'Desarrollo Academico CEIN'!G121+'Servicios Escolares'!G121+Vinculación!G121+Planeación!G121+Calidad!G121+'Administración Recursos'!G121</f>
        <v>0</v>
      </c>
      <c r="H121" s="121">
        <f t="shared" si="10"/>
        <v>110641.69</v>
      </c>
      <c r="J121" s="187">
        <f>H121-'PE-PARTIDA'!H121</f>
        <v>0</v>
      </c>
    </row>
    <row r="122" spans="1:10" x14ac:dyDescent="0.25">
      <c r="A122" s="1">
        <f>'Administración Recursos'!A122</f>
        <v>5411</v>
      </c>
      <c r="B122" s="175" t="str">
        <f>'Administración Recursos'!B122</f>
        <v>Vehículos y equipo de transporte</v>
      </c>
      <c r="C122" s="66">
        <f>Electromecánica!C122+Alimentarias!C122+Innovación!C122+Administración!C122+Investigación!C122+'Desarrollo Academico CEIN'!C122+'Servicios Escolares'!C122+Vinculación!C122+Planeación!C122+Calidad!C122+'Administración Recursos'!C122</f>
        <v>0</v>
      </c>
      <c r="D122" s="66">
        <f>Electromecánica!D122+Alimentarias!D122+Innovación!D122+Administración!D122+Investigación!D122+'Desarrollo Academico CEIN'!D122+'Servicios Escolares'!D122+Vinculación!D122+Planeación!D122+Calidad!D122+'Administración Recursos'!D122</f>
        <v>0</v>
      </c>
      <c r="E122" s="66">
        <f>Electromecánica!E122+Alimentarias!E122+Innovación!E122+Administración!E122+Investigación!E122+'Desarrollo Academico CEIN'!E122+'Servicios Escolares'!E122+Vinculación!E122+Planeación!E122+Calidad!E122+'Administración Recursos'!E122</f>
        <v>0</v>
      </c>
      <c r="F122" s="66">
        <f>Electromecánica!F122+Alimentarias!F122+Innovación!F122+Administración!F122+Investigación!F122+'Desarrollo Academico CEIN'!F122+'Servicios Escolares'!F122+Vinculación!F122+Planeación!F122+Calidad!F122+'Administración Recursos'!F122</f>
        <v>870000</v>
      </c>
      <c r="G122" s="66">
        <f>Electromecánica!G122+Alimentarias!G122+Innovación!G122+Administración!G122+Investigación!G122+'Desarrollo Academico CEIN'!G122+'Servicios Escolares'!G122+Vinculación!G122+Planeación!G122+Calidad!G122+'Administración Recursos'!G122</f>
        <v>0</v>
      </c>
      <c r="H122" s="121">
        <f t="shared" ref="H122:H130" si="11">SUM(C122:G122)</f>
        <v>870000</v>
      </c>
      <c r="J122" s="187">
        <f>H122-'PE-PARTIDA'!H122</f>
        <v>0</v>
      </c>
    </row>
    <row r="123" spans="1:10" x14ac:dyDescent="0.25">
      <c r="A123" s="1">
        <f>'Administración Recursos'!A123</f>
        <v>5491</v>
      </c>
      <c r="B123" s="175" t="str">
        <f>'Administración Recursos'!B123</f>
        <v>Otros equipos de transporte</v>
      </c>
      <c r="C123" s="66">
        <f>Electromecánica!C123+Alimentarias!C123+Innovación!C123+Administración!C123+Investigación!C123+'Desarrollo Academico CEIN'!C123+'Servicios Escolares'!C123+Vinculación!C123+Planeación!C123+Calidad!C123+'Administración Recursos'!C123</f>
        <v>0</v>
      </c>
      <c r="D123" s="66">
        <f>Electromecánica!D123+Alimentarias!D123+Innovación!D123+Administración!D123+Investigación!D123+'Desarrollo Academico CEIN'!D123+'Servicios Escolares'!D123+Vinculación!D123+Planeación!D123+Calidad!D123+'Administración Recursos'!D123</f>
        <v>0</v>
      </c>
      <c r="E123" s="66">
        <f>Electromecánica!E123+Alimentarias!E123+Innovación!E123+Administración!E123+Investigación!E123+'Desarrollo Academico CEIN'!E123+'Servicios Escolares'!E123+Vinculación!E123+Planeación!E123+Calidad!E123+'Administración Recursos'!E123</f>
        <v>0</v>
      </c>
      <c r="F123" s="66">
        <f>Electromecánica!F123+Alimentarias!F123+Innovación!F123+Administración!F123+Investigación!F123+'Desarrollo Academico CEIN'!F123+'Servicios Escolares'!F123+Vinculación!F123+Planeación!F123+Calidad!F123+'Administración Recursos'!F123</f>
        <v>0</v>
      </c>
      <c r="G123" s="66">
        <f>Electromecánica!G123+Alimentarias!G123+Innovación!G123+Administración!G123+Investigación!G123+'Desarrollo Academico CEIN'!G123+'Servicios Escolares'!G123+Vinculación!G123+Planeación!G123+Calidad!G123+'Administración Recursos'!G123</f>
        <v>0</v>
      </c>
      <c r="H123" s="121">
        <f t="shared" si="11"/>
        <v>0</v>
      </c>
      <c r="J123" s="187">
        <f>H123-'PE-PARTIDA'!H123</f>
        <v>0</v>
      </c>
    </row>
    <row r="124" spans="1:10" x14ac:dyDescent="0.25">
      <c r="A124" s="1">
        <f>'Administración Recursos'!A124</f>
        <v>5621</v>
      </c>
      <c r="B124" s="175" t="str">
        <f>'Administración Recursos'!B124</f>
        <v>Maquinaria y equipo industrial</v>
      </c>
      <c r="C124" s="66">
        <f>Electromecánica!C124+Alimentarias!C124+Innovación!C124+Administración!C124+Investigación!C124+'Desarrollo Academico CEIN'!C124+'Servicios Escolares'!C124+Vinculación!C124+Planeación!C124+Calidad!C124+'Administración Recursos'!C124</f>
        <v>0</v>
      </c>
      <c r="D124" s="66">
        <f>Electromecánica!D124+Alimentarias!D124+Innovación!D124+Administración!D124+Investigación!D124+'Desarrollo Academico CEIN'!D124+'Servicios Escolares'!D124+Vinculación!D124+Planeación!D124+Calidad!D124+'Administración Recursos'!D124</f>
        <v>0</v>
      </c>
      <c r="E124" s="66">
        <f>Electromecánica!E124+Alimentarias!E124+Innovación!E124+Administración!E124+Investigación!E124+'Desarrollo Academico CEIN'!E124+'Servicios Escolares'!E124+Vinculación!E124+Planeación!E124+Calidad!E124+'Administración Recursos'!E124</f>
        <v>0</v>
      </c>
      <c r="F124" s="66">
        <f>Electromecánica!F124+Alimentarias!F124+Innovación!F124+Administración!F124+Investigación!F124+'Desarrollo Academico CEIN'!F124+'Servicios Escolares'!F124+Vinculación!F124+Planeación!F124+Calidad!F124+'Administración Recursos'!F124</f>
        <v>0</v>
      </c>
      <c r="G124" s="66">
        <f>Electromecánica!G124+Alimentarias!G124+Innovación!G124+Administración!G124+Investigación!G124+'Desarrollo Academico CEIN'!G124+'Servicios Escolares'!G124+Vinculación!G124+Planeación!G124+Calidad!G124+'Administración Recursos'!G124</f>
        <v>0</v>
      </c>
      <c r="H124" s="121">
        <f t="shared" si="11"/>
        <v>0</v>
      </c>
      <c r="J124" s="187">
        <f>H124-'PE-PARTIDA'!H124</f>
        <v>0</v>
      </c>
    </row>
    <row r="125" spans="1:10" ht="30" x14ac:dyDescent="0.25">
      <c r="A125" s="1">
        <f>'Administración Recursos'!A125</f>
        <v>5641</v>
      </c>
      <c r="B125" s="175" t="str">
        <f>'Administración Recursos'!B125</f>
        <v>Sistemas de aire acondicionado, calefacción y de refrigeración</v>
      </c>
      <c r="C125" s="66">
        <f>Electromecánica!C125+Alimentarias!C125+Innovación!C125+Administración!C125+Investigación!C125+'Desarrollo Academico CEIN'!C125+'Servicios Escolares'!C125+Vinculación!C125+Planeación!C125+Calidad!C125+'Administración Recursos'!C125</f>
        <v>0</v>
      </c>
      <c r="D125" s="66">
        <f>Electromecánica!D125+Alimentarias!D125+Innovación!D125+Administración!D125+Investigación!D125+'Desarrollo Academico CEIN'!D125+'Servicios Escolares'!D125+Vinculación!D125+Planeación!D125+Calidad!D125+'Administración Recursos'!D125</f>
        <v>0</v>
      </c>
      <c r="E125" s="66">
        <f>Electromecánica!E125+Alimentarias!E125+Innovación!E125+Administración!E125+Investigación!E125+'Desarrollo Academico CEIN'!E125+'Servicios Escolares'!E125+Vinculación!E125+Planeación!E125+Calidad!E125+'Administración Recursos'!E125</f>
        <v>0</v>
      </c>
      <c r="F125" s="66">
        <f>Electromecánica!F125+Alimentarias!F125+Innovación!F125+Administración!F125+Investigación!F125+'Desarrollo Academico CEIN'!F125+'Servicios Escolares'!F125+Vinculación!F125+Planeación!F125+Calidad!F125+'Administración Recursos'!F125</f>
        <v>0</v>
      </c>
      <c r="G125" s="66">
        <f>Electromecánica!G125+Alimentarias!G125+Innovación!G125+Administración!G125+Investigación!G125+'Desarrollo Academico CEIN'!G125+'Servicios Escolares'!G125+Vinculación!G125+Planeación!G125+Calidad!G125+'Administración Recursos'!G125</f>
        <v>0</v>
      </c>
      <c r="H125" s="121">
        <f t="shared" si="11"/>
        <v>0</v>
      </c>
      <c r="J125" s="187">
        <f>H125-'PE-PARTIDA'!H125</f>
        <v>0</v>
      </c>
    </row>
    <row r="126" spans="1:10" x14ac:dyDescent="0.25">
      <c r="A126" s="1">
        <f>'Administración Recursos'!A126</f>
        <v>5651</v>
      </c>
      <c r="B126" s="175" t="str">
        <f>'Administración Recursos'!B126</f>
        <v>Equipo de comunicación y telecomunicación</v>
      </c>
      <c r="C126" s="66">
        <f>Electromecánica!C126+Alimentarias!C126+Innovación!C126+Administración!C126+Investigación!C126+'Desarrollo Academico CEIN'!C126+'Servicios Escolares'!C126+Vinculación!C126+Planeación!C126+Calidad!C126+'Administración Recursos'!C126</f>
        <v>0</v>
      </c>
      <c r="D126" s="66">
        <f>Electromecánica!D126+Alimentarias!D126+Innovación!D126+Administración!D126+Investigación!D126+'Desarrollo Academico CEIN'!D126+'Servicios Escolares'!D126+Vinculación!D126+Planeación!D126+Calidad!D126+'Administración Recursos'!D126</f>
        <v>0</v>
      </c>
      <c r="E126" s="66">
        <f>Electromecánica!E126+Alimentarias!E126+Innovación!E126+Administración!E126+Investigación!E126+'Desarrollo Academico CEIN'!E126+'Servicios Escolares'!E126+Vinculación!E126+Planeación!E126+Calidad!E126+'Administración Recursos'!E126</f>
        <v>0</v>
      </c>
      <c r="F126" s="66">
        <f>Electromecánica!F126+Alimentarias!F126+Innovación!F126+Administración!F126+Investigación!F126+'Desarrollo Academico CEIN'!F126+'Servicios Escolares'!F126+Vinculación!F126+Planeación!F126+Calidad!F126+'Administración Recursos'!F126</f>
        <v>0</v>
      </c>
      <c r="G126" s="66">
        <f>Electromecánica!G126+Alimentarias!G126+Innovación!G126+Administración!G126+Investigación!G126+'Desarrollo Academico CEIN'!G126+'Servicios Escolares'!G126+Vinculación!G126+Planeación!G126+Calidad!G126+'Administración Recursos'!G126</f>
        <v>0</v>
      </c>
      <c r="H126" s="121">
        <f t="shared" si="11"/>
        <v>0</v>
      </c>
      <c r="J126" s="187">
        <f>H126-'PE-PARTIDA'!H126</f>
        <v>0</v>
      </c>
    </row>
    <row r="127" spans="1:10" x14ac:dyDescent="0.25">
      <c r="A127" s="1">
        <f>'Administración Recursos'!A127</f>
        <v>5671</v>
      </c>
      <c r="B127" s="175" t="str">
        <f>'Administración Recursos'!B127</f>
        <v>Herramientas y máquinas-herramienta</v>
      </c>
      <c r="C127" s="66">
        <f>Electromecánica!C127+Alimentarias!C127+Innovación!C127+Administración!C127+Investigación!C127+'Desarrollo Academico CEIN'!C127+'Servicios Escolares'!C127+Vinculación!C127+Planeación!C127+Calidad!C127+'Administración Recursos'!C127</f>
        <v>0</v>
      </c>
      <c r="D127" s="66">
        <f>Electromecánica!D127+Alimentarias!D127+Innovación!D127+Administración!D127+Investigación!D127+'Desarrollo Academico CEIN'!D127+'Servicios Escolares'!D127+Vinculación!D127+Planeación!D127+Calidad!D127+'Administración Recursos'!D127</f>
        <v>0</v>
      </c>
      <c r="E127" s="66">
        <f>Electromecánica!E127+Alimentarias!E127+Innovación!E127+Administración!E127+Investigación!E127+'Desarrollo Academico CEIN'!E127+'Servicios Escolares'!E127+Vinculación!E127+Planeación!E127+Calidad!E127+'Administración Recursos'!E127</f>
        <v>0</v>
      </c>
      <c r="F127" s="66">
        <f>Electromecánica!F127+Alimentarias!F127+Innovación!F127+Administración!F127+Investigación!F127+'Desarrollo Academico CEIN'!F127+'Servicios Escolares'!F127+Vinculación!F127+Planeación!F127+Calidad!F127+'Administración Recursos'!F127</f>
        <v>0</v>
      </c>
      <c r="G127" s="66">
        <f>Electromecánica!G127+Alimentarias!G127+Innovación!G127+Administración!G127+Investigación!G127+'Desarrollo Academico CEIN'!G127+'Servicios Escolares'!G127+Vinculación!G127+Planeación!G127+Calidad!G127+'Administración Recursos'!G127</f>
        <v>0</v>
      </c>
      <c r="H127" s="121">
        <f t="shared" si="11"/>
        <v>0</v>
      </c>
      <c r="J127" s="187">
        <f>H127-'PE-PARTIDA'!H127</f>
        <v>0</v>
      </c>
    </row>
    <row r="128" spans="1:10" x14ac:dyDescent="0.25">
      <c r="A128" s="1">
        <f>'Administración Recursos'!A128</f>
        <v>5771</v>
      </c>
      <c r="B128" s="175" t="str">
        <f>'Administración Recursos'!B128</f>
        <v>Especies menores y de zoologico</v>
      </c>
      <c r="C128" s="66">
        <f>Electromecánica!C128+Alimentarias!C128+Innovación!C128+Administración!C128+Investigación!C128+'Desarrollo Academico CEIN'!C128+'Servicios Escolares'!C128+Vinculación!C128+Planeación!C128+Calidad!C128+'Administración Recursos'!C128</f>
        <v>0</v>
      </c>
      <c r="D128" s="66">
        <f>Electromecánica!D128+Alimentarias!D128+Innovación!D128+Administración!D128+Investigación!D128+'Desarrollo Academico CEIN'!D128+'Servicios Escolares'!D128+Vinculación!D128+Planeación!D128+Calidad!D128+'Administración Recursos'!D128</f>
        <v>0</v>
      </c>
      <c r="E128" s="66">
        <f>Electromecánica!E128+Alimentarias!E128+Innovación!E128+Administración!E128+Investigación!E128+'Desarrollo Academico CEIN'!E128+'Servicios Escolares'!E128+Vinculación!E128+Planeación!E128+Calidad!E128+'Administración Recursos'!E128</f>
        <v>5000</v>
      </c>
      <c r="F128" s="66">
        <f>Electromecánica!F128+Alimentarias!F128+Innovación!F128+Administración!F128+Investigación!F128+'Desarrollo Academico CEIN'!F128+'Servicios Escolares'!F128+Vinculación!F128+Planeación!F128+Calidad!F128+'Administración Recursos'!F128</f>
        <v>0</v>
      </c>
      <c r="G128" s="66">
        <f>Electromecánica!G128+Alimentarias!G128+Innovación!G128+Administración!G128+Investigación!G128+'Desarrollo Academico CEIN'!G128+'Servicios Escolares'!G128+Vinculación!G128+Planeación!G128+Calidad!G128+'Administración Recursos'!G128</f>
        <v>0</v>
      </c>
      <c r="H128" s="121">
        <f t="shared" si="11"/>
        <v>5000</v>
      </c>
      <c r="J128" s="187">
        <f>H128-'PE-PARTIDA'!H128</f>
        <v>0</v>
      </c>
    </row>
    <row r="129" spans="1:10" x14ac:dyDescent="0.25">
      <c r="A129" s="1">
        <f>'Administración Recursos'!A129</f>
        <v>5911</v>
      </c>
      <c r="B129" s="175" t="str">
        <f>'Administración Recursos'!B129</f>
        <v>Software</v>
      </c>
      <c r="C129" s="66">
        <f>Electromecánica!C129+Alimentarias!C129+Innovación!C129+Administración!C129+Investigación!C129+'Desarrollo Academico CEIN'!C129+'Servicios Escolares'!C129+Vinculación!C129+Planeación!C129+Calidad!C129+'Administración Recursos'!C129</f>
        <v>0</v>
      </c>
      <c r="D129" s="66">
        <f>Electromecánica!D129+Alimentarias!D129+Innovación!D129+Administración!D129+Investigación!D129+'Desarrollo Academico CEIN'!D129+'Servicios Escolares'!D129+Vinculación!D129+Planeación!D129+Calidad!D129+'Administración Recursos'!D129</f>
        <v>0</v>
      </c>
      <c r="E129" s="66">
        <f>Electromecánica!E129+Alimentarias!E129+Innovación!E129+Administración!E129+Investigación!E129+'Desarrollo Academico CEIN'!E129+'Servicios Escolares'!E129+Vinculación!E129+Planeación!E129+Calidad!E129+'Administración Recursos'!E129</f>
        <v>0</v>
      </c>
      <c r="F129" s="66">
        <f>Electromecánica!F129+Alimentarias!F129+Innovación!F129+Administración!F129+Investigación!F129+'Desarrollo Academico CEIN'!F129+'Servicios Escolares'!F129+Vinculación!F129+Planeación!F129+Calidad!F129+'Administración Recursos'!F129</f>
        <v>0</v>
      </c>
      <c r="G129" s="66">
        <f>Electromecánica!G129+Alimentarias!G129+Innovación!G129+Administración!G129+Investigación!G129+'Desarrollo Academico CEIN'!G129+'Servicios Escolares'!G129+Vinculación!G129+Planeación!G129+Calidad!G129+'Administración Recursos'!G129</f>
        <v>0</v>
      </c>
      <c r="H129" s="121">
        <f t="shared" si="11"/>
        <v>0</v>
      </c>
      <c r="J129" s="187">
        <f>H129-'PE-PARTIDA'!H129</f>
        <v>0</v>
      </c>
    </row>
    <row r="130" spans="1:10" x14ac:dyDescent="0.25">
      <c r="A130" s="1">
        <f>'Administración Recursos'!A130</f>
        <v>5971</v>
      </c>
      <c r="B130" s="175" t="str">
        <f>'Administración Recursos'!B130</f>
        <v>Licencias informáticas e intelectuales</v>
      </c>
      <c r="C130" s="66">
        <f>Electromecánica!C130+Alimentarias!C130+Innovación!C130+Administración!C130+Investigación!C130+'Desarrollo Academico CEIN'!C130+'Servicios Escolares'!C130+Vinculación!C130+Planeación!C130+Calidad!C130+'Administración Recursos'!C130</f>
        <v>0</v>
      </c>
      <c r="D130" s="66">
        <f>Electromecánica!D130+Alimentarias!D130+Innovación!D130+Administración!D130+Investigación!D130+'Desarrollo Academico CEIN'!D130+'Servicios Escolares'!D130+Vinculación!D130+Planeación!D130+Calidad!D130+'Administración Recursos'!D130</f>
        <v>0</v>
      </c>
      <c r="E130" s="66">
        <f>Electromecánica!E130+Alimentarias!E130+Innovación!E130+Administración!E130+Investigación!E130+'Desarrollo Academico CEIN'!E130+'Servicios Escolares'!E130+Vinculación!E130+Planeación!E130+Calidad!E130+'Administración Recursos'!E130</f>
        <v>0</v>
      </c>
      <c r="F130" s="66">
        <f>Electromecánica!F130+Alimentarias!F130+Innovación!F130+Administración!F130+Investigación!F130+'Desarrollo Academico CEIN'!F130+'Servicios Escolares'!F130+Vinculación!F130+Planeación!F130+Calidad!F130+'Administración Recursos'!F130</f>
        <v>0</v>
      </c>
      <c r="G130" s="66">
        <f>Electromecánica!G130+Alimentarias!G130+Innovación!G130+Administración!G130+Investigación!G130+'Desarrollo Academico CEIN'!G130+'Servicios Escolares'!G130+Vinculación!G130+Planeación!G130+Calidad!G130+'Administración Recursos'!G130</f>
        <v>0</v>
      </c>
      <c r="H130" s="121">
        <f t="shared" si="11"/>
        <v>0</v>
      </c>
      <c r="J130" s="187">
        <f>H130-'PE-PARTIDA'!H130</f>
        <v>0</v>
      </c>
    </row>
    <row r="131" spans="1:10" x14ac:dyDescent="0.25">
      <c r="C131" s="190">
        <f>SUM(C115:C130)</f>
        <v>0</v>
      </c>
      <c r="D131" s="190">
        <f t="shared" ref="D131:H131" si="12">SUM(D115:D130)</f>
        <v>0</v>
      </c>
      <c r="E131" s="190">
        <f t="shared" si="12"/>
        <v>49000</v>
      </c>
      <c r="F131" s="190">
        <f t="shared" si="12"/>
        <v>1305501.69</v>
      </c>
      <c r="G131" s="190">
        <f t="shared" si="12"/>
        <v>0</v>
      </c>
      <c r="H131" s="190">
        <f t="shared" si="12"/>
        <v>1354501.69</v>
      </c>
      <c r="J131" s="187">
        <f>H131-'PE-PARTIDA'!H131</f>
        <v>0</v>
      </c>
    </row>
    <row r="132" spans="1:10" ht="15.75" x14ac:dyDescent="0.25">
      <c r="C132" s="181">
        <f t="shared" ref="C132:H132" si="13">C21+C63+C109+C113+C131</f>
        <v>8013784.0800000001</v>
      </c>
      <c r="D132" s="181">
        <f t="shared" si="13"/>
        <v>11533616</v>
      </c>
      <c r="E132" s="181">
        <f t="shared" si="13"/>
        <v>2040000</v>
      </c>
      <c r="F132" s="181">
        <f t="shared" si="13"/>
        <v>3192237.69</v>
      </c>
      <c r="G132" s="181">
        <f t="shared" si="13"/>
        <v>150000</v>
      </c>
      <c r="H132" s="181">
        <f t="shared" si="13"/>
        <v>24929637.77</v>
      </c>
      <c r="J132" s="187">
        <f>H132-'PE-PARTIDA'!H132</f>
        <v>0</v>
      </c>
    </row>
    <row r="133" spans="1:10" x14ac:dyDescent="0.25">
      <c r="J133" s="187"/>
    </row>
    <row r="134" spans="1:10" x14ac:dyDescent="0.25">
      <c r="J134" s="187"/>
    </row>
    <row r="135" spans="1:10" ht="15.75" x14ac:dyDescent="0.25">
      <c r="H135" s="189"/>
      <c r="J135" s="187"/>
    </row>
    <row r="136" spans="1:10" x14ac:dyDescent="0.25">
      <c r="H136" s="37">
        <v>24579637.77</v>
      </c>
    </row>
    <row r="137" spans="1:10" x14ac:dyDescent="0.25">
      <c r="H137">
        <v>350000</v>
      </c>
    </row>
    <row r="139" spans="1:10" ht="15.75" x14ac:dyDescent="0.25">
      <c r="H139" s="191">
        <f>SUM(H136:H138)</f>
        <v>24929637.77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0"/>
  <sheetViews>
    <sheetView topLeftCell="B1" workbookViewId="0">
      <selection activeCell="C10" sqref="C10"/>
    </sheetView>
  </sheetViews>
  <sheetFormatPr baseColWidth="10" defaultRowHeight="15" x14ac:dyDescent="0.25"/>
  <cols>
    <col min="2" max="2" width="33.140625" customWidth="1"/>
    <col min="3" max="3" width="18" bestFit="1" customWidth="1"/>
  </cols>
  <sheetData>
    <row r="1" spans="2:3" ht="41.25" customHeight="1" x14ac:dyDescent="0.25">
      <c r="B1" t="s">
        <v>142</v>
      </c>
    </row>
    <row r="2" spans="2:3" ht="17.25" x14ac:dyDescent="0.25">
      <c r="B2" s="117" t="s">
        <v>84</v>
      </c>
      <c r="C2" s="118">
        <v>7637267</v>
      </c>
    </row>
    <row r="3" spans="2:3" ht="17.25" x14ac:dyDescent="0.25">
      <c r="B3" s="117" t="s">
        <v>173</v>
      </c>
      <c r="C3" s="119">
        <v>11402000</v>
      </c>
    </row>
    <row r="4" spans="2:3" ht="17.25" x14ac:dyDescent="0.25">
      <c r="B4" s="117" t="s">
        <v>174</v>
      </c>
      <c r="C4" s="118">
        <v>1690000</v>
      </c>
    </row>
    <row r="5" spans="2:3" ht="41.25" customHeight="1" x14ac:dyDescent="0.25">
      <c r="B5" s="120" t="s">
        <v>172</v>
      </c>
      <c r="C5" s="118">
        <v>3192237.69</v>
      </c>
    </row>
    <row r="6" spans="2:3" ht="54" customHeight="1" x14ac:dyDescent="0.25">
      <c r="B6" s="120" t="s">
        <v>197</v>
      </c>
      <c r="C6" s="118">
        <v>150000</v>
      </c>
    </row>
    <row r="24" spans="2:3" x14ac:dyDescent="0.25">
      <c r="B24" t="s">
        <v>201</v>
      </c>
    </row>
    <row r="25" spans="2:3" x14ac:dyDescent="0.25">
      <c r="B25" t="s">
        <v>109</v>
      </c>
      <c r="C25" s="121">
        <v>16642598</v>
      </c>
    </row>
    <row r="26" spans="2:3" x14ac:dyDescent="0.25">
      <c r="B26" t="s">
        <v>110</v>
      </c>
      <c r="C26" s="122">
        <v>1711500</v>
      </c>
    </row>
    <row r="27" spans="2:3" x14ac:dyDescent="0.25">
      <c r="B27" t="s">
        <v>111</v>
      </c>
      <c r="C27" s="121">
        <v>4411905</v>
      </c>
    </row>
    <row r="28" spans="2:3" x14ac:dyDescent="0.25">
      <c r="B28" t="s">
        <v>113</v>
      </c>
      <c r="C28" s="121">
        <v>1305501.69</v>
      </c>
    </row>
    <row r="30" spans="2:3" x14ac:dyDescent="0.25">
      <c r="C30" s="121">
        <f>SUM(C25:C29)</f>
        <v>24071504.690000001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9" tint="-0.249977111117893"/>
  </sheetPr>
  <dimension ref="A1:V127"/>
  <sheetViews>
    <sheetView showGridLines="0" view="pageBreakPreview" zoomScale="60" zoomScaleNormal="60" workbookViewId="0">
      <selection activeCell="B114" sqref="B114"/>
    </sheetView>
  </sheetViews>
  <sheetFormatPr baseColWidth="10" defaultColWidth="11.42578125" defaultRowHeight="12.75" x14ac:dyDescent="0.25"/>
  <cols>
    <col min="1" max="1" width="9.7109375" style="26" customWidth="1"/>
    <col min="2" max="2" width="60.42578125" style="143" customWidth="1"/>
    <col min="3" max="3" width="15.85546875" style="82" customWidth="1"/>
    <col min="4" max="4" width="14.85546875" style="82" customWidth="1"/>
    <col min="5" max="5" width="14" style="82" customWidth="1"/>
    <col min="6" max="6" width="14.140625" style="82" bestFit="1" customWidth="1"/>
    <col min="7" max="12" width="13.85546875" style="82" bestFit="1" customWidth="1"/>
    <col min="13" max="13" width="14.140625" style="82" customWidth="1"/>
    <col min="14" max="14" width="13.85546875" style="82" bestFit="1" customWidth="1"/>
    <col min="15" max="15" width="16.42578125" style="82" customWidth="1"/>
    <col min="16" max="16384" width="11.42578125" style="27"/>
  </cols>
  <sheetData>
    <row r="1" spans="1:22" ht="45" x14ac:dyDescent="0.25">
      <c r="M1" s="83"/>
      <c r="N1" s="84" t="s">
        <v>144</v>
      </c>
      <c r="P1" s="28"/>
      <c r="Q1" s="28"/>
      <c r="R1" s="28"/>
      <c r="S1" s="28"/>
      <c r="T1" s="28"/>
      <c r="U1" s="28"/>
      <c r="V1" s="28"/>
    </row>
    <row r="2" spans="1:22" ht="33.75" x14ac:dyDescent="0.25">
      <c r="A2" s="29"/>
      <c r="B2" s="144"/>
      <c r="D2" s="85"/>
      <c r="E2" s="85"/>
      <c r="F2" s="85"/>
      <c r="G2" s="85"/>
      <c r="H2" s="85"/>
      <c r="I2" s="85"/>
      <c r="J2" s="85"/>
      <c r="L2" s="83"/>
      <c r="M2" s="83"/>
      <c r="N2" s="86" t="s">
        <v>115</v>
      </c>
      <c r="P2" s="28"/>
      <c r="Q2" s="28"/>
      <c r="R2" s="28"/>
      <c r="S2" s="28"/>
      <c r="T2" s="28"/>
      <c r="U2" s="28"/>
      <c r="V2" s="28"/>
    </row>
    <row r="3" spans="1:22" ht="3" customHeight="1" x14ac:dyDescent="0.25">
      <c r="A3" s="27"/>
      <c r="L3" s="83"/>
      <c r="M3" s="83"/>
      <c r="N3" s="83"/>
      <c r="O3" s="87"/>
      <c r="P3" s="28"/>
      <c r="Q3" s="28"/>
      <c r="R3" s="28"/>
      <c r="S3" s="28"/>
      <c r="T3" s="28"/>
      <c r="U3" s="28"/>
      <c r="V3" s="28"/>
    </row>
    <row r="4" spans="1:22" ht="18" customHeight="1" x14ac:dyDescent="0.25">
      <c r="A4" s="5"/>
      <c r="B4" s="145"/>
      <c r="C4" s="88"/>
      <c r="D4" s="88"/>
      <c r="E4" s="142" t="s">
        <v>208</v>
      </c>
      <c r="G4" s="142"/>
      <c r="H4" s="142"/>
      <c r="I4" s="142"/>
      <c r="J4" s="142"/>
      <c r="K4" s="142"/>
      <c r="L4" s="142"/>
      <c r="M4" s="142"/>
      <c r="N4" s="142"/>
      <c r="P4" s="28"/>
      <c r="Q4" s="28"/>
      <c r="R4" s="28"/>
      <c r="S4" s="28"/>
      <c r="T4" s="28"/>
      <c r="U4" s="28"/>
      <c r="V4" s="28"/>
    </row>
    <row r="5" spans="1:22" ht="28.5" customHeight="1" x14ac:dyDescent="0.25">
      <c r="A5" s="30"/>
      <c r="B5" s="146"/>
      <c r="C5" s="89"/>
      <c r="D5" s="228" t="s">
        <v>207</v>
      </c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8"/>
      <c r="Q5" s="28"/>
      <c r="R5" s="28"/>
      <c r="S5" s="28"/>
      <c r="T5" s="28"/>
      <c r="U5" s="28"/>
      <c r="V5" s="28"/>
    </row>
    <row r="6" spans="1:22" ht="12.75" customHeight="1" x14ac:dyDescent="0.25">
      <c r="A6" s="231" t="s">
        <v>1</v>
      </c>
      <c r="B6" s="231" t="s">
        <v>116</v>
      </c>
      <c r="C6" s="233" t="s">
        <v>117</v>
      </c>
      <c r="D6" s="235" t="s">
        <v>145</v>
      </c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</row>
    <row r="7" spans="1:22" s="6" customFormat="1" ht="22.5" customHeight="1" thickBot="1" x14ac:dyDescent="0.3">
      <c r="A7" s="232"/>
      <c r="B7" s="232"/>
      <c r="C7" s="234"/>
      <c r="D7" s="90" t="s">
        <v>118</v>
      </c>
      <c r="E7" s="91" t="s">
        <v>119</v>
      </c>
      <c r="F7" s="91" t="s">
        <v>120</v>
      </c>
      <c r="G7" s="91" t="s">
        <v>121</v>
      </c>
      <c r="H7" s="91" t="s">
        <v>122</v>
      </c>
      <c r="I7" s="91" t="s">
        <v>123</v>
      </c>
      <c r="J7" s="91" t="s">
        <v>124</v>
      </c>
      <c r="K7" s="91" t="s">
        <v>125</v>
      </c>
      <c r="L7" s="91" t="s">
        <v>126</v>
      </c>
      <c r="M7" s="91" t="s">
        <v>127</v>
      </c>
      <c r="N7" s="91" t="s">
        <v>128</v>
      </c>
      <c r="O7" s="91" t="s">
        <v>129</v>
      </c>
    </row>
    <row r="8" spans="1:22" s="32" customFormat="1" x14ac:dyDescent="0.2">
      <c r="A8" s="99">
        <v>1131</v>
      </c>
      <c r="B8" s="16" t="s">
        <v>91</v>
      </c>
      <c r="C8" s="97">
        <f>SUM(D8:O8)</f>
        <v>9456163</v>
      </c>
      <c r="D8" s="92">
        <f>'PE-PARTIDA'!H8/12</f>
        <v>788013.58333333337</v>
      </c>
      <c r="E8" s="92">
        <f>'PE-PARTIDA'!$H$8/12</f>
        <v>788013.58333333337</v>
      </c>
      <c r="F8" s="92">
        <f>'PE-PARTIDA'!$H$8/12</f>
        <v>788013.58333333337</v>
      </c>
      <c r="G8" s="92">
        <f>'PE-PARTIDA'!$H$8/12</f>
        <v>788013.58333333337</v>
      </c>
      <c r="H8" s="92">
        <f>'PE-PARTIDA'!$H$8/12</f>
        <v>788013.58333333337</v>
      </c>
      <c r="I8" s="92">
        <f>'PE-PARTIDA'!$H$8/12</f>
        <v>788013.58333333337</v>
      </c>
      <c r="J8" s="92">
        <f>'PE-PARTIDA'!$H$8/12</f>
        <v>788013.58333333337</v>
      </c>
      <c r="K8" s="92">
        <f>'PE-PARTIDA'!$H$8/12</f>
        <v>788013.58333333337</v>
      </c>
      <c r="L8" s="92">
        <f>'PE-PARTIDA'!$H$8/12</f>
        <v>788013.58333333337</v>
      </c>
      <c r="M8" s="92">
        <f>'PE-PARTIDA'!$H$8/12</f>
        <v>788013.58333333337</v>
      </c>
      <c r="N8" s="92">
        <f>'PE-PARTIDA'!$H$8/12</f>
        <v>788013.58333333337</v>
      </c>
      <c r="O8" s="92">
        <f>'PE-PARTIDA'!$H$8/12</f>
        <v>788013.58333333337</v>
      </c>
    </row>
    <row r="9" spans="1:22" s="36" customFormat="1" x14ac:dyDescent="0.25">
      <c r="A9" s="78">
        <v>1311</v>
      </c>
      <c r="B9" s="79" t="s">
        <v>2</v>
      </c>
      <c r="C9" s="97">
        <f t="shared" ref="C9:C72" si="0">SUM(D9:O9)</f>
        <v>188215.99999999997</v>
      </c>
      <c r="D9" s="92">
        <f>'PE-PARTIDA'!$H$9/12</f>
        <v>15684.666666666666</v>
      </c>
      <c r="E9" s="92">
        <f>'PE-PARTIDA'!$H$9/12</f>
        <v>15684.666666666666</v>
      </c>
      <c r="F9" s="92">
        <f>'PE-PARTIDA'!$H$9/12</f>
        <v>15684.666666666666</v>
      </c>
      <c r="G9" s="92">
        <f>'PE-PARTIDA'!$H$9/12</f>
        <v>15684.666666666666</v>
      </c>
      <c r="H9" s="92">
        <f>'PE-PARTIDA'!$H$9/12</f>
        <v>15684.666666666666</v>
      </c>
      <c r="I9" s="92">
        <f>'PE-PARTIDA'!$H$9/12</f>
        <v>15684.666666666666</v>
      </c>
      <c r="J9" s="92">
        <f>'PE-PARTIDA'!$H$9/12</f>
        <v>15684.666666666666</v>
      </c>
      <c r="K9" s="92">
        <f>'PE-PARTIDA'!$H$9/12</f>
        <v>15684.666666666666</v>
      </c>
      <c r="L9" s="92">
        <f>'PE-PARTIDA'!$H$9/12</f>
        <v>15684.666666666666</v>
      </c>
      <c r="M9" s="92">
        <f>'PE-PARTIDA'!$H$9/12</f>
        <v>15684.666666666666</v>
      </c>
      <c r="N9" s="92">
        <f>'PE-PARTIDA'!$H$9/12</f>
        <v>15684.666666666666</v>
      </c>
      <c r="O9" s="92">
        <f>'PE-PARTIDA'!$H$9/12</f>
        <v>15684.666666666666</v>
      </c>
    </row>
    <row r="10" spans="1:22" s="32" customFormat="1" x14ac:dyDescent="0.25">
      <c r="A10" s="78">
        <v>1321</v>
      </c>
      <c r="B10" s="79" t="s">
        <v>3</v>
      </c>
      <c r="C10" s="97">
        <f t="shared" si="0"/>
        <v>588943</v>
      </c>
      <c r="D10" s="93"/>
      <c r="E10" s="93"/>
      <c r="F10" s="93">
        <f>'PE-PARTIDA'!H10/2</f>
        <v>294471.5</v>
      </c>
      <c r="G10" s="93"/>
      <c r="H10" s="93"/>
      <c r="I10" s="93"/>
      <c r="J10" s="93"/>
      <c r="K10" s="93"/>
      <c r="L10" s="93"/>
      <c r="M10" s="93"/>
      <c r="N10" s="93"/>
      <c r="O10" s="93">
        <f>'PE-PARTIDA'!H10/2</f>
        <v>294471.5</v>
      </c>
    </row>
    <row r="11" spans="1:22" s="32" customFormat="1" x14ac:dyDescent="0.25">
      <c r="A11" s="78">
        <v>1322</v>
      </c>
      <c r="B11" s="79" t="s">
        <v>4</v>
      </c>
      <c r="C11" s="97">
        <f t="shared" si="0"/>
        <v>1424792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>
        <f>'PE-PARTIDA'!H11</f>
        <v>1424792</v>
      </c>
    </row>
    <row r="12" spans="1:22" s="32" customFormat="1" x14ac:dyDescent="0.25">
      <c r="A12" s="78">
        <v>1343</v>
      </c>
      <c r="B12" s="79" t="s">
        <v>5</v>
      </c>
      <c r="C12" s="97">
        <f t="shared" si="0"/>
        <v>187096.00000000003</v>
      </c>
      <c r="D12" s="92">
        <f>'PE-PARTIDA'!$H$12/12</f>
        <v>15591.333333333334</v>
      </c>
      <c r="E12" s="92">
        <f>'PE-PARTIDA'!$H$12/12</f>
        <v>15591.333333333334</v>
      </c>
      <c r="F12" s="92">
        <f>'PE-PARTIDA'!$H$12/12</f>
        <v>15591.333333333334</v>
      </c>
      <c r="G12" s="92">
        <f>'PE-PARTIDA'!$H$12/12</f>
        <v>15591.333333333334</v>
      </c>
      <c r="H12" s="92">
        <f>'PE-PARTIDA'!$H$12/12</f>
        <v>15591.333333333334</v>
      </c>
      <c r="I12" s="92">
        <f>'PE-PARTIDA'!$H$12/12</f>
        <v>15591.333333333334</v>
      </c>
      <c r="J12" s="92">
        <f>'PE-PARTIDA'!$H$12/12</f>
        <v>15591.333333333334</v>
      </c>
      <c r="K12" s="92">
        <f>'PE-PARTIDA'!$H$12/12</f>
        <v>15591.333333333334</v>
      </c>
      <c r="L12" s="92">
        <f>'PE-PARTIDA'!$H$12/12</f>
        <v>15591.333333333334</v>
      </c>
      <c r="M12" s="92">
        <f>'PE-PARTIDA'!$H$12/12</f>
        <v>15591.333333333334</v>
      </c>
      <c r="N12" s="92">
        <f>'PE-PARTIDA'!$H$12/12</f>
        <v>15591.333333333334</v>
      </c>
      <c r="O12" s="92">
        <f>'PE-PARTIDA'!$H$12/12</f>
        <v>15591.333333333334</v>
      </c>
    </row>
    <row r="13" spans="1:22" s="6" customFormat="1" x14ac:dyDescent="0.25">
      <c r="A13" s="78">
        <v>1411</v>
      </c>
      <c r="B13" s="79" t="s">
        <v>146</v>
      </c>
      <c r="C13" s="97">
        <f t="shared" si="0"/>
        <v>698090</v>
      </c>
      <c r="D13" s="92">
        <f>'PE-PARTIDA'!$H$13/12</f>
        <v>58174.166666666664</v>
      </c>
      <c r="E13" s="92">
        <f>'PE-PARTIDA'!$H$13/12</f>
        <v>58174.166666666664</v>
      </c>
      <c r="F13" s="92">
        <f>'PE-PARTIDA'!$H$13/12</f>
        <v>58174.166666666664</v>
      </c>
      <c r="G13" s="92">
        <f>'PE-PARTIDA'!$H$13/12</f>
        <v>58174.166666666664</v>
      </c>
      <c r="H13" s="92">
        <f>'PE-PARTIDA'!$H$13/12</f>
        <v>58174.166666666664</v>
      </c>
      <c r="I13" s="92">
        <f>'PE-PARTIDA'!$H$13/12</f>
        <v>58174.166666666664</v>
      </c>
      <c r="J13" s="92">
        <f>'PE-PARTIDA'!$H$13/12</f>
        <v>58174.166666666664</v>
      </c>
      <c r="K13" s="92">
        <f>'PE-PARTIDA'!$H$13/12</f>
        <v>58174.166666666664</v>
      </c>
      <c r="L13" s="92">
        <f>'PE-PARTIDA'!$H$13/12</f>
        <v>58174.166666666664</v>
      </c>
      <c r="M13" s="92">
        <f>'PE-PARTIDA'!$H$13/12</f>
        <v>58174.166666666664</v>
      </c>
      <c r="N13" s="92">
        <f>'PE-PARTIDA'!$H$13/12</f>
        <v>58174.166666666664</v>
      </c>
      <c r="O13" s="92">
        <f>'PE-PARTIDA'!$H$13/12</f>
        <v>58174.166666666664</v>
      </c>
    </row>
    <row r="14" spans="1:22" s="32" customFormat="1" x14ac:dyDescent="0.25">
      <c r="A14" s="78">
        <v>1421</v>
      </c>
      <c r="B14" s="79" t="s">
        <v>6</v>
      </c>
      <c r="C14" s="97">
        <f t="shared" si="0"/>
        <v>287754</v>
      </c>
      <c r="D14" s="92">
        <f>'PE-PARTIDA'!$H$14/12</f>
        <v>23979.5</v>
      </c>
      <c r="E14" s="92">
        <f>'PE-PARTIDA'!$H$14/12</f>
        <v>23979.5</v>
      </c>
      <c r="F14" s="92">
        <f>'PE-PARTIDA'!$H$14/12</f>
        <v>23979.5</v>
      </c>
      <c r="G14" s="92">
        <f>'PE-PARTIDA'!$H$14/12</f>
        <v>23979.5</v>
      </c>
      <c r="H14" s="92">
        <f>'PE-PARTIDA'!$H$14/12</f>
        <v>23979.5</v>
      </c>
      <c r="I14" s="92">
        <f>'PE-PARTIDA'!$H$14/12</f>
        <v>23979.5</v>
      </c>
      <c r="J14" s="92">
        <f>'PE-PARTIDA'!$H$14/12</f>
        <v>23979.5</v>
      </c>
      <c r="K14" s="92">
        <f>'PE-PARTIDA'!$H$14/12</f>
        <v>23979.5</v>
      </c>
      <c r="L14" s="92">
        <f>'PE-PARTIDA'!$H$14/12</f>
        <v>23979.5</v>
      </c>
      <c r="M14" s="92">
        <f>'PE-PARTIDA'!$H$14/12</f>
        <v>23979.5</v>
      </c>
      <c r="N14" s="92">
        <f>'PE-PARTIDA'!$H$14/12</f>
        <v>23979.5</v>
      </c>
      <c r="O14" s="92">
        <f>'PE-PARTIDA'!$H$14/12</f>
        <v>23979.5</v>
      </c>
    </row>
    <row r="15" spans="1:22" s="32" customFormat="1" x14ac:dyDescent="0.25">
      <c r="A15" s="78">
        <v>1431</v>
      </c>
      <c r="B15" s="79" t="s">
        <v>147</v>
      </c>
      <c r="C15" s="97">
        <f t="shared" si="0"/>
        <v>1093153.0000000002</v>
      </c>
      <c r="D15" s="92">
        <f>'PE-PARTIDA'!$H$15/12</f>
        <v>91096.083333333328</v>
      </c>
      <c r="E15" s="92">
        <f>'PE-PARTIDA'!$H$15/12</f>
        <v>91096.083333333328</v>
      </c>
      <c r="F15" s="92">
        <f>'PE-PARTIDA'!$H$15/12</f>
        <v>91096.083333333328</v>
      </c>
      <c r="G15" s="92">
        <f>'PE-PARTIDA'!$H$15/12</f>
        <v>91096.083333333328</v>
      </c>
      <c r="H15" s="92">
        <f>'PE-PARTIDA'!$H$15/12</f>
        <v>91096.083333333328</v>
      </c>
      <c r="I15" s="92">
        <f>'PE-PARTIDA'!$H$15/12</f>
        <v>91096.083333333328</v>
      </c>
      <c r="J15" s="92">
        <f>'PE-PARTIDA'!$H$15/12</f>
        <v>91096.083333333328</v>
      </c>
      <c r="K15" s="92">
        <f>'PE-PARTIDA'!$H$15/12</f>
        <v>91096.083333333328</v>
      </c>
      <c r="L15" s="92">
        <f>'PE-PARTIDA'!$H$15/12</f>
        <v>91096.083333333328</v>
      </c>
      <c r="M15" s="92">
        <f>'PE-PARTIDA'!$H$15/12</f>
        <v>91096.083333333328</v>
      </c>
      <c r="N15" s="92">
        <f>'PE-PARTIDA'!$H$15/12</f>
        <v>91096.083333333328</v>
      </c>
      <c r="O15" s="92">
        <f>'PE-PARTIDA'!$H$15/12</f>
        <v>91096.083333333328</v>
      </c>
    </row>
    <row r="16" spans="1:22" s="32" customFormat="1" x14ac:dyDescent="0.25">
      <c r="A16" s="78">
        <v>1432</v>
      </c>
      <c r="B16" s="79" t="s">
        <v>7</v>
      </c>
      <c r="C16" s="97">
        <f t="shared" si="0"/>
        <v>205168.99999999997</v>
      </c>
      <c r="D16" s="92">
        <f>'PE-PARTIDA'!$H$16/12</f>
        <v>17097.416666666668</v>
      </c>
      <c r="E16" s="92">
        <f>'PE-PARTIDA'!$H$16/12</f>
        <v>17097.416666666668</v>
      </c>
      <c r="F16" s="92">
        <f>'PE-PARTIDA'!$H$16/12</f>
        <v>17097.416666666668</v>
      </c>
      <c r="G16" s="92">
        <f>'PE-PARTIDA'!$H$16/12</f>
        <v>17097.416666666668</v>
      </c>
      <c r="H16" s="92">
        <f>'PE-PARTIDA'!$H$16/12</f>
        <v>17097.416666666668</v>
      </c>
      <c r="I16" s="92">
        <f>'PE-PARTIDA'!$H$16/12</f>
        <v>17097.416666666668</v>
      </c>
      <c r="J16" s="92">
        <f>'PE-PARTIDA'!$H$16/12</f>
        <v>17097.416666666668</v>
      </c>
      <c r="K16" s="92">
        <f>'PE-PARTIDA'!$H$16/12</f>
        <v>17097.416666666668</v>
      </c>
      <c r="L16" s="92">
        <f>'PE-PARTIDA'!$H$16/12</f>
        <v>17097.416666666668</v>
      </c>
      <c r="M16" s="92">
        <f>'PE-PARTIDA'!$H$16/12</f>
        <v>17097.416666666668</v>
      </c>
      <c r="N16" s="92">
        <f>'PE-PARTIDA'!$H$16/12</f>
        <v>17097.416666666668</v>
      </c>
      <c r="O16" s="92">
        <f>'PE-PARTIDA'!$H$16/12</f>
        <v>17097.416666666668</v>
      </c>
    </row>
    <row r="17" spans="1:15" s="6" customFormat="1" x14ac:dyDescent="0.25">
      <c r="A17" s="78">
        <v>1543</v>
      </c>
      <c r="B17" s="79" t="s">
        <v>148</v>
      </c>
      <c r="C17" s="97">
        <f t="shared" si="0"/>
        <v>393794.00000000006</v>
      </c>
      <c r="D17" s="92">
        <f>'PE-PARTIDA'!$H$17/12</f>
        <v>32816.166666666664</v>
      </c>
      <c r="E17" s="92">
        <f>'PE-PARTIDA'!$H$17/12</f>
        <v>32816.166666666664</v>
      </c>
      <c r="F17" s="92">
        <f>'PE-PARTIDA'!$H$17/12</f>
        <v>32816.166666666664</v>
      </c>
      <c r="G17" s="92">
        <f>'PE-PARTIDA'!$H$17/12</f>
        <v>32816.166666666664</v>
      </c>
      <c r="H17" s="92">
        <f>'PE-PARTIDA'!$H$17/12</f>
        <v>32816.166666666664</v>
      </c>
      <c r="I17" s="92">
        <f>'PE-PARTIDA'!$H$17/12</f>
        <v>32816.166666666664</v>
      </c>
      <c r="J17" s="92">
        <f>'PE-PARTIDA'!$H$17/12</f>
        <v>32816.166666666664</v>
      </c>
      <c r="K17" s="92">
        <f>'PE-PARTIDA'!$H$17/12</f>
        <v>32816.166666666664</v>
      </c>
      <c r="L17" s="92">
        <f>'PE-PARTIDA'!$H$17/12</f>
        <v>32816.166666666664</v>
      </c>
      <c r="M17" s="92">
        <f>'PE-PARTIDA'!$H$17/12</f>
        <v>32816.166666666664</v>
      </c>
      <c r="N17" s="92">
        <f>'PE-PARTIDA'!$H$17/12</f>
        <v>32816.166666666664</v>
      </c>
      <c r="O17" s="92">
        <f>'PE-PARTIDA'!$H$17/12</f>
        <v>32816.166666666664</v>
      </c>
    </row>
    <row r="18" spans="1:15" s="32" customFormat="1" x14ac:dyDescent="0.25">
      <c r="A18" s="78">
        <v>1712</v>
      </c>
      <c r="B18" s="79" t="s">
        <v>8</v>
      </c>
      <c r="C18" s="97">
        <f t="shared" si="0"/>
        <v>865896</v>
      </c>
      <c r="D18" s="92">
        <f>'PE-PARTIDA'!$H$18/12</f>
        <v>72158</v>
      </c>
      <c r="E18" s="92">
        <f>'PE-PARTIDA'!$H$18/12</f>
        <v>72158</v>
      </c>
      <c r="F18" s="92">
        <f>'PE-PARTIDA'!$H$18/12</f>
        <v>72158</v>
      </c>
      <c r="G18" s="92">
        <f>'PE-PARTIDA'!$H$18/12</f>
        <v>72158</v>
      </c>
      <c r="H18" s="92">
        <f>'PE-PARTIDA'!$H$18/12</f>
        <v>72158</v>
      </c>
      <c r="I18" s="92">
        <f>'PE-PARTIDA'!$H$18/12</f>
        <v>72158</v>
      </c>
      <c r="J18" s="92">
        <f>'PE-PARTIDA'!$H$18/12</f>
        <v>72158</v>
      </c>
      <c r="K18" s="92">
        <f>'PE-PARTIDA'!$H$18/12</f>
        <v>72158</v>
      </c>
      <c r="L18" s="92">
        <f>'PE-PARTIDA'!$H$18/12</f>
        <v>72158</v>
      </c>
      <c r="M18" s="92">
        <f>'PE-PARTIDA'!$H$18/12</f>
        <v>72158</v>
      </c>
      <c r="N18" s="92">
        <f>'PE-PARTIDA'!$H$18/12</f>
        <v>72158</v>
      </c>
      <c r="O18" s="92">
        <f>'PE-PARTIDA'!$H$18/12</f>
        <v>72158</v>
      </c>
    </row>
    <row r="19" spans="1:15" s="32" customFormat="1" x14ac:dyDescent="0.25">
      <c r="A19" s="78">
        <v>1715</v>
      </c>
      <c r="B19" s="79" t="s">
        <v>9</v>
      </c>
      <c r="C19" s="97">
        <f t="shared" si="0"/>
        <v>518036</v>
      </c>
      <c r="D19" s="93"/>
      <c r="E19" s="93"/>
      <c r="F19" s="93"/>
      <c r="G19" s="93"/>
      <c r="H19" s="93"/>
      <c r="I19" s="93"/>
      <c r="J19" s="93"/>
      <c r="K19" s="93"/>
      <c r="L19" s="93">
        <f>'PE-PARTIDA'!H19</f>
        <v>518036</v>
      </c>
      <c r="M19" s="93"/>
      <c r="N19" s="93"/>
      <c r="O19" s="93"/>
    </row>
    <row r="20" spans="1:15" s="32" customFormat="1" x14ac:dyDescent="0.25">
      <c r="A20" s="78">
        <v>1719</v>
      </c>
      <c r="B20" s="79" t="s">
        <v>10</v>
      </c>
      <c r="C20" s="97">
        <f t="shared" si="0"/>
        <v>469401.99999999994</v>
      </c>
      <c r="D20" s="92">
        <f>'PE-PARTIDA'!$H$20/12</f>
        <v>39116.833333333336</v>
      </c>
      <c r="E20" s="92">
        <f>'PE-PARTIDA'!$H$20/12</f>
        <v>39116.833333333336</v>
      </c>
      <c r="F20" s="92">
        <f>'PE-PARTIDA'!$H$20/12</f>
        <v>39116.833333333336</v>
      </c>
      <c r="G20" s="92">
        <f>'PE-PARTIDA'!$H$20/12</f>
        <v>39116.833333333336</v>
      </c>
      <c r="H20" s="92">
        <f>'PE-PARTIDA'!$H$20/12</f>
        <v>39116.833333333336</v>
      </c>
      <c r="I20" s="92">
        <f>'PE-PARTIDA'!$H$20/12</f>
        <v>39116.833333333336</v>
      </c>
      <c r="J20" s="92">
        <f>'PE-PARTIDA'!$H$20/12</f>
        <v>39116.833333333336</v>
      </c>
      <c r="K20" s="92">
        <f>'PE-PARTIDA'!$H$20/12</f>
        <v>39116.833333333336</v>
      </c>
      <c r="L20" s="92">
        <f>'PE-PARTIDA'!$H$20/12</f>
        <v>39116.833333333336</v>
      </c>
      <c r="M20" s="92">
        <f>'PE-PARTIDA'!$H$20/12</f>
        <v>39116.833333333336</v>
      </c>
      <c r="N20" s="92">
        <f>'PE-PARTIDA'!$H$20/12</f>
        <v>39116.833333333336</v>
      </c>
      <c r="O20" s="92">
        <f>'PE-PARTIDA'!$H$20/12</f>
        <v>39116.833333333336</v>
      </c>
    </row>
    <row r="21" spans="1:15" s="6" customFormat="1" ht="28.5" customHeight="1" x14ac:dyDescent="0.25">
      <c r="A21" s="33"/>
      <c r="B21" s="147" t="s">
        <v>109</v>
      </c>
      <c r="C21" s="98">
        <f>SUM(C8:C20)</f>
        <v>16376504</v>
      </c>
      <c r="D21" s="98">
        <f t="shared" ref="D21:O21" si="1">SUM(D8:D20)</f>
        <v>1153727.7499999998</v>
      </c>
      <c r="E21" s="98">
        <f t="shared" si="1"/>
        <v>1153727.7499999998</v>
      </c>
      <c r="F21" s="98">
        <f t="shared" si="1"/>
        <v>1448199.25</v>
      </c>
      <c r="G21" s="98">
        <f t="shared" si="1"/>
        <v>1153727.7499999998</v>
      </c>
      <c r="H21" s="98">
        <f t="shared" si="1"/>
        <v>1153727.7499999998</v>
      </c>
      <c r="I21" s="98">
        <f t="shared" si="1"/>
        <v>1153727.7499999998</v>
      </c>
      <c r="J21" s="98">
        <f t="shared" si="1"/>
        <v>1153727.7499999998</v>
      </c>
      <c r="K21" s="98">
        <f t="shared" si="1"/>
        <v>1153727.7499999998</v>
      </c>
      <c r="L21" s="98">
        <f t="shared" si="1"/>
        <v>1671763.7499999998</v>
      </c>
      <c r="M21" s="98">
        <f t="shared" si="1"/>
        <v>1153727.7499999998</v>
      </c>
      <c r="N21" s="98">
        <f t="shared" si="1"/>
        <v>1153727.7499999998</v>
      </c>
      <c r="O21" s="98">
        <f t="shared" si="1"/>
        <v>2872991.25</v>
      </c>
    </row>
    <row r="22" spans="1:15" s="6" customFormat="1" x14ac:dyDescent="0.25">
      <c r="A22" s="80">
        <v>2111</v>
      </c>
      <c r="B22" s="81" t="s">
        <v>12</v>
      </c>
      <c r="C22" s="97">
        <f t="shared" si="0"/>
        <v>70000</v>
      </c>
      <c r="D22" s="94"/>
      <c r="E22" s="94"/>
      <c r="F22" s="94">
        <v>35000</v>
      </c>
      <c r="G22" s="94"/>
      <c r="H22" s="94"/>
      <c r="I22" s="94"/>
      <c r="J22" s="94"/>
      <c r="K22" s="94">
        <v>35000</v>
      </c>
      <c r="L22" s="94"/>
      <c r="M22" s="94"/>
      <c r="N22" s="94"/>
      <c r="O22" s="94"/>
    </row>
    <row r="23" spans="1:15" s="6" customFormat="1" ht="25.5" x14ac:dyDescent="0.25">
      <c r="A23" s="80">
        <v>2141</v>
      </c>
      <c r="B23" s="81" t="s">
        <v>13</v>
      </c>
      <c r="C23" s="97">
        <f t="shared" si="0"/>
        <v>99999.999999999985</v>
      </c>
      <c r="D23" s="94">
        <f>'PE-PARTIDA'!$H$24/12</f>
        <v>8333.3333333333339</v>
      </c>
      <c r="E23" s="94">
        <f>'PE-PARTIDA'!$H$24/12</f>
        <v>8333.3333333333339</v>
      </c>
      <c r="F23" s="94">
        <f>'PE-PARTIDA'!$H$24/12</f>
        <v>8333.3333333333339</v>
      </c>
      <c r="G23" s="94">
        <f>'PE-PARTIDA'!$H$24/12</f>
        <v>8333.3333333333339</v>
      </c>
      <c r="H23" s="94">
        <f>'PE-PARTIDA'!$H$24/12</f>
        <v>8333.3333333333339</v>
      </c>
      <c r="I23" s="94">
        <f>'PE-PARTIDA'!$H$24/12</f>
        <v>8333.3333333333339</v>
      </c>
      <c r="J23" s="94">
        <f>'PE-PARTIDA'!$H$24/12</f>
        <v>8333.3333333333339</v>
      </c>
      <c r="K23" s="94">
        <f>'PE-PARTIDA'!$H$24/12</f>
        <v>8333.3333333333339</v>
      </c>
      <c r="L23" s="94">
        <f>'PE-PARTIDA'!$H$24/12</f>
        <v>8333.3333333333339</v>
      </c>
      <c r="M23" s="94">
        <f>'PE-PARTIDA'!$H$24/12</f>
        <v>8333.3333333333339</v>
      </c>
      <c r="N23" s="94">
        <f>'PE-PARTIDA'!$H$24/12</f>
        <v>8333.3333333333339</v>
      </c>
      <c r="O23" s="94">
        <f>'PE-PARTIDA'!$H$24/12</f>
        <v>8333.3333333333339</v>
      </c>
    </row>
    <row r="24" spans="1:15" s="6" customFormat="1" x14ac:dyDescent="0.25">
      <c r="A24" s="80">
        <v>2151</v>
      </c>
      <c r="B24" s="81" t="s">
        <v>149</v>
      </c>
      <c r="C24" s="97">
        <f t="shared" si="0"/>
        <v>270000</v>
      </c>
      <c r="D24" s="94">
        <v>100000</v>
      </c>
      <c r="E24" s="94"/>
      <c r="F24" s="94">
        <v>170000</v>
      </c>
      <c r="G24" s="94"/>
      <c r="H24" s="94"/>
      <c r="I24" s="94"/>
      <c r="J24" s="94"/>
      <c r="K24" s="94"/>
      <c r="L24" s="94"/>
      <c r="M24" s="94"/>
      <c r="N24" s="94"/>
      <c r="O24" s="94"/>
    </row>
    <row r="25" spans="1:15" s="6" customFormat="1" x14ac:dyDescent="0.25">
      <c r="A25" s="80">
        <v>2161</v>
      </c>
      <c r="B25" s="81" t="s">
        <v>14</v>
      </c>
      <c r="C25" s="97">
        <f t="shared" si="0"/>
        <v>110000.00000000001</v>
      </c>
      <c r="D25" s="94">
        <f>'PE-PARTIDA'!$H$26/12</f>
        <v>9166.6666666666661</v>
      </c>
      <c r="E25" s="94">
        <f>'PE-PARTIDA'!$H$26/12</f>
        <v>9166.6666666666661</v>
      </c>
      <c r="F25" s="94">
        <f>'PE-PARTIDA'!$H$26/12</f>
        <v>9166.6666666666661</v>
      </c>
      <c r="G25" s="94">
        <f>'PE-PARTIDA'!$H$26/12</f>
        <v>9166.6666666666661</v>
      </c>
      <c r="H25" s="94">
        <f>'PE-PARTIDA'!$H$26/12</f>
        <v>9166.6666666666661</v>
      </c>
      <c r="I25" s="94">
        <f>'PE-PARTIDA'!$H$26/12</f>
        <v>9166.6666666666661</v>
      </c>
      <c r="J25" s="94">
        <f>'PE-PARTIDA'!$H$26/12</f>
        <v>9166.6666666666661</v>
      </c>
      <c r="K25" s="94">
        <f>'PE-PARTIDA'!$H$26/12</f>
        <v>9166.6666666666661</v>
      </c>
      <c r="L25" s="94">
        <f>'PE-PARTIDA'!$H$26/12</f>
        <v>9166.6666666666661</v>
      </c>
      <c r="M25" s="94">
        <f>'PE-PARTIDA'!$H$26/12</f>
        <v>9166.6666666666661</v>
      </c>
      <c r="N25" s="94">
        <f>'PE-PARTIDA'!$H$26/12</f>
        <v>9166.6666666666661</v>
      </c>
      <c r="O25" s="94">
        <f>'PE-PARTIDA'!$H$26/12</f>
        <v>9166.6666666666661</v>
      </c>
    </row>
    <row r="26" spans="1:15" s="36" customFormat="1" x14ac:dyDescent="0.25">
      <c r="A26" s="80">
        <v>2171</v>
      </c>
      <c r="B26" s="81" t="s">
        <v>131</v>
      </c>
      <c r="C26" s="97">
        <f t="shared" si="0"/>
        <v>1500</v>
      </c>
      <c r="D26" s="94"/>
      <c r="E26" s="94"/>
      <c r="F26" s="94"/>
      <c r="G26" s="94"/>
      <c r="H26" s="94"/>
      <c r="I26" s="94"/>
      <c r="J26" s="94">
        <v>1500</v>
      </c>
      <c r="K26" s="94"/>
      <c r="L26" s="94"/>
      <c r="M26" s="94"/>
      <c r="N26" s="94"/>
      <c r="O26" s="94"/>
    </row>
    <row r="27" spans="1:15" s="36" customFormat="1" ht="38.25" x14ac:dyDescent="0.25">
      <c r="A27" s="80">
        <v>2212</v>
      </c>
      <c r="B27" s="81" t="s">
        <v>132</v>
      </c>
      <c r="C27" s="97">
        <f t="shared" si="0"/>
        <v>100000</v>
      </c>
      <c r="D27" s="94">
        <v>3000</v>
      </c>
      <c r="E27" s="94">
        <v>2000</v>
      </c>
      <c r="F27" s="94">
        <v>3000</v>
      </c>
      <c r="G27" s="94"/>
      <c r="H27" s="94">
        <v>50000</v>
      </c>
      <c r="I27" s="94"/>
      <c r="J27" s="94">
        <v>3000</v>
      </c>
      <c r="K27" s="94"/>
      <c r="L27" s="94">
        <v>3000</v>
      </c>
      <c r="M27" s="94">
        <v>30000</v>
      </c>
      <c r="N27" s="94">
        <v>3000</v>
      </c>
      <c r="O27" s="94">
        <v>3000</v>
      </c>
    </row>
    <row r="28" spans="1:15" s="36" customFormat="1" x14ac:dyDescent="0.25">
      <c r="A28" s="80">
        <v>2221</v>
      </c>
      <c r="B28" s="81" t="s">
        <v>150</v>
      </c>
      <c r="C28" s="97">
        <f t="shared" si="0"/>
        <v>6000</v>
      </c>
      <c r="D28" s="94"/>
      <c r="E28" s="94">
        <v>3000</v>
      </c>
      <c r="F28" s="94"/>
      <c r="G28" s="94"/>
      <c r="H28" s="94"/>
      <c r="I28" s="94"/>
      <c r="J28" s="94"/>
      <c r="K28" s="94">
        <v>3000</v>
      </c>
      <c r="L28" s="94"/>
      <c r="M28" s="94"/>
      <c r="N28" s="94"/>
      <c r="O28" s="94"/>
    </row>
    <row r="29" spans="1:15" s="36" customFormat="1" x14ac:dyDescent="0.25">
      <c r="A29" s="80">
        <v>2231</v>
      </c>
      <c r="B29" s="81" t="s">
        <v>15</v>
      </c>
      <c r="C29" s="97">
        <f t="shared" si="0"/>
        <v>7000</v>
      </c>
      <c r="D29" s="94">
        <v>3500</v>
      </c>
      <c r="E29" s="94"/>
      <c r="F29" s="94"/>
      <c r="G29" s="94"/>
      <c r="H29" s="94"/>
      <c r="I29" s="94"/>
      <c r="J29" s="94">
        <v>3500</v>
      </c>
      <c r="K29" s="94"/>
      <c r="L29" s="94"/>
      <c r="M29" s="94"/>
      <c r="N29" s="94"/>
      <c r="O29" s="94"/>
    </row>
    <row r="30" spans="1:15" s="36" customFormat="1" ht="25.5" x14ac:dyDescent="0.25">
      <c r="A30" s="80">
        <v>2311</v>
      </c>
      <c r="B30" s="81" t="s">
        <v>151</v>
      </c>
      <c r="C30" s="97">
        <f t="shared" si="0"/>
        <v>16999.999999999996</v>
      </c>
      <c r="D30" s="94">
        <f>'PE-PARTIDA'!$H31/12</f>
        <v>1416.6666666666667</v>
      </c>
      <c r="E30" s="94">
        <f>'PE-PARTIDA'!$H31/12</f>
        <v>1416.6666666666667</v>
      </c>
      <c r="F30" s="94">
        <f>'PE-PARTIDA'!$H31/12</f>
        <v>1416.6666666666667</v>
      </c>
      <c r="G30" s="94">
        <f>'PE-PARTIDA'!$H31/12</f>
        <v>1416.6666666666667</v>
      </c>
      <c r="H30" s="94">
        <f>'PE-PARTIDA'!$H31/12</f>
        <v>1416.6666666666667</v>
      </c>
      <c r="I30" s="94">
        <f>'PE-PARTIDA'!$H31/12</f>
        <v>1416.6666666666667</v>
      </c>
      <c r="J30" s="94">
        <f>'PE-PARTIDA'!$H31/12</f>
        <v>1416.6666666666667</v>
      </c>
      <c r="K30" s="94">
        <f>'PE-PARTIDA'!$H31/12</f>
        <v>1416.6666666666667</v>
      </c>
      <c r="L30" s="94">
        <f>'PE-PARTIDA'!$H31/12</f>
        <v>1416.6666666666667</v>
      </c>
      <c r="M30" s="94">
        <f>'PE-PARTIDA'!$H31/12</f>
        <v>1416.6666666666667</v>
      </c>
      <c r="N30" s="94">
        <f>'PE-PARTIDA'!$H31/12</f>
        <v>1416.6666666666667</v>
      </c>
      <c r="O30" s="94">
        <f>'PE-PARTIDA'!$H31/12</f>
        <v>1416.6666666666667</v>
      </c>
    </row>
    <row r="31" spans="1:15" s="36" customFormat="1" x14ac:dyDescent="0.25">
      <c r="A31" s="80">
        <v>2411</v>
      </c>
      <c r="B31" s="81" t="s">
        <v>16</v>
      </c>
      <c r="C31" s="97">
        <f t="shared" si="0"/>
        <v>10000</v>
      </c>
      <c r="D31" s="94">
        <f>'PE-PARTIDA'!$H32/12</f>
        <v>833.33333333333337</v>
      </c>
      <c r="E31" s="94">
        <f>'PE-PARTIDA'!$H32/12</f>
        <v>833.33333333333337</v>
      </c>
      <c r="F31" s="94">
        <f>'PE-PARTIDA'!$H32/12</f>
        <v>833.33333333333337</v>
      </c>
      <c r="G31" s="94">
        <f>'PE-PARTIDA'!$H32/12</f>
        <v>833.33333333333337</v>
      </c>
      <c r="H31" s="94">
        <f>'PE-PARTIDA'!$H32/12</f>
        <v>833.33333333333337</v>
      </c>
      <c r="I31" s="94">
        <f>'PE-PARTIDA'!$H32/12</f>
        <v>833.33333333333337</v>
      </c>
      <c r="J31" s="94">
        <f>'PE-PARTIDA'!$H32/12</f>
        <v>833.33333333333337</v>
      </c>
      <c r="K31" s="94">
        <f>'PE-PARTIDA'!$H32/12</f>
        <v>833.33333333333337</v>
      </c>
      <c r="L31" s="94">
        <f>'PE-PARTIDA'!$H32/12</f>
        <v>833.33333333333337</v>
      </c>
      <c r="M31" s="94">
        <f>'PE-PARTIDA'!$H32/12</f>
        <v>833.33333333333337</v>
      </c>
      <c r="N31" s="94">
        <f>'PE-PARTIDA'!$H32/12</f>
        <v>833.33333333333337</v>
      </c>
      <c r="O31" s="94">
        <f>'PE-PARTIDA'!$H32/12</f>
        <v>833.33333333333337</v>
      </c>
    </row>
    <row r="32" spans="1:15" s="36" customFormat="1" x14ac:dyDescent="0.25">
      <c r="A32" s="80">
        <v>2421</v>
      </c>
      <c r="B32" s="81" t="s">
        <v>17</v>
      </c>
      <c r="C32" s="97">
        <f t="shared" si="0"/>
        <v>500.00000000000006</v>
      </c>
      <c r="D32" s="94">
        <f>'PE-PARTIDA'!$H33/12</f>
        <v>41.666666666666664</v>
      </c>
      <c r="E32" s="94">
        <f>'PE-PARTIDA'!$H33/12</f>
        <v>41.666666666666664</v>
      </c>
      <c r="F32" s="94">
        <f>'PE-PARTIDA'!$H33/12</f>
        <v>41.666666666666664</v>
      </c>
      <c r="G32" s="94">
        <f>'PE-PARTIDA'!$H33/12</f>
        <v>41.666666666666664</v>
      </c>
      <c r="H32" s="94">
        <f>'PE-PARTIDA'!$H33/12</f>
        <v>41.666666666666664</v>
      </c>
      <c r="I32" s="94">
        <f>'PE-PARTIDA'!$H33/12</f>
        <v>41.666666666666664</v>
      </c>
      <c r="J32" s="94">
        <f>'PE-PARTIDA'!$H33/12</f>
        <v>41.666666666666664</v>
      </c>
      <c r="K32" s="94">
        <f>'PE-PARTIDA'!$H33/12</f>
        <v>41.666666666666664</v>
      </c>
      <c r="L32" s="94">
        <f>'PE-PARTIDA'!$H33/12</f>
        <v>41.666666666666664</v>
      </c>
      <c r="M32" s="94">
        <f>'PE-PARTIDA'!$H33/12</f>
        <v>41.666666666666664</v>
      </c>
      <c r="N32" s="94">
        <f>'PE-PARTIDA'!$H33/12</f>
        <v>41.666666666666664</v>
      </c>
      <c r="O32" s="94">
        <f>'PE-PARTIDA'!$H33/12</f>
        <v>41.666666666666664</v>
      </c>
    </row>
    <row r="33" spans="1:15" s="36" customFormat="1" x14ac:dyDescent="0.25">
      <c r="A33" s="80">
        <v>2431</v>
      </c>
      <c r="B33" s="81" t="s">
        <v>152</v>
      </c>
      <c r="C33" s="97">
        <f t="shared" si="0"/>
        <v>15000</v>
      </c>
      <c r="D33" s="94">
        <f>'PE-PARTIDA'!$H34/12</f>
        <v>1250</v>
      </c>
      <c r="E33" s="94">
        <f>'PE-PARTIDA'!$H34/12</f>
        <v>1250</v>
      </c>
      <c r="F33" s="94">
        <f>'PE-PARTIDA'!$H34/12</f>
        <v>1250</v>
      </c>
      <c r="G33" s="94">
        <f>'PE-PARTIDA'!$H34/12</f>
        <v>1250</v>
      </c>
      <c r="H33" s="94">
        <f>'PE-PARTIDA'!$H34/12</f>
        <v>1250</v>
      </c>
      <c r="I33" s="94">
        <f>'PE-PARTIDA'!$H34/12</f>
        <v>1250</v>
      </c>
      <c r="J33" s="94">
        <f>'PE-PARTIDA'!$H34/12</f>
        <v>1250</v>
      </c>
      <c r="K33" s="94">
        <f>'PE-PARTIDA'!$H34/12</f>
        <v>1250</v>
      </c>
      <c r="L33" s="94">
        <f>'PE-PARTIDA'!$H34/12</f>
        <v>1250</v>
      </c>
      <c r="M33" s="94">
        <f>'PE-PARTIDA'!$H34/12</f>
        <v>1250</v>
      </c>
      <c r="N33" s="94">
        <f>'PE-PARTIDA'!$H34/12</f>
        <v>1250</v>
      </c>
      <c r="O33" s="94">
        <f>'PE-PARTIDA'!$H34/12</f>
        <v>1250</v>
      </c>
    </row>
    <row r="34" spans="1:15" s="6" customFormat="1" x14ac:dyDescent="0.25">
      <c r="A34" s="80">
        <v>2441</v>
      </c>
      <c r="B34" s="81" t="s">
        <v>18</v>
      </c>
      <c r="C34" s="97">
        <f t="shared" si="0"/>
        <v>5000</v>
      </c>
      <c r="D34" s="94">
        <f>'PE-PARTIDA'!$H35/12</f>
        <v>416.66666666666669</v>
      </c>
      <c r="E34" s="94">
        <f>'PE-PARTIDA'!$H35/12</f>
        <v>416.66666666666669</v>
      </c>
      <c r="F34" s="94">
        <f>'PE-PARTIDA'!$H35/12</f>
        <v>416.66666666666669</v>
      </c>
      <c r="G34" s="94">
        <f>'PE-PARTIDA'!$H35/12</f>
        <v>416.66666666666669</v>
      </c>
      <c r="H34" s="94">
        <f>'PE-PARTIDA'!$H35/12</f>
        <v>416.66666666666669</v>
      </c>
      <c r="I34" s="94">
        <f>'PE-PARTIDA'!$H35/12</f>
        <v>416.66666666666669</v>
      </c>
      <c r="J34" s="94">
        <f>'PE-PARTIDA'!$H35/12</f>
        <v>416.66666666666669</v>
      </c>
      <c r="K34" s="94">
        <f>'PE-PARTIDA'!$H35/12</f>
        <v>416.66666666666669</v>
      </c>
      <c r="L34" s="94">
        <f>'PE-PARTIDA'!$H35/12</f>
        <v>416.66666666666669</v>
      </c>
      <c r="M34" s="94">
        <f>'PE-PARTIDA'!$H35/12</f>
        <v>416.66666666666669</v>
      </c>
      <c r="N34" s="94">
        <f>'PE-PARTIDA'!$H35/12</f>
        <v>416.66666666666669</v>
      </c>
      <c r="O34" s="94">
        <f>'PE-PARTIDA'!$H35/12</f>
        <v>416.66666666666669</v>
      </c>
    </row>
    <row r="35" spans="1:15" s="6" customFormat="1" x14ac:dyDescent="0.25">
      <c r="A35" s="80">
        <v>2451</v>
      </c>
      <c r="B35" s="81" t="s">
        <v>19</v>
      </c>
      <c r="C35" s="97">
        <f t="shared" si="0"/>
        <v>6999.9999999999991</v>
      </c>
      <c r="D35" s="94">
        <f>'PE-PARTIDA'!$H36/12</f>
        <v>583.33333333333337</v>
      </c>
      <c r="E35" s="94">
        <f>'PE-PARTIDA'!$H36/12</f>
        <v>583.33333333333337</v>
      </c>
      <c r="F35" s="94">
        <f>'PE-PARTIDA'!$H36/12</f>
        <v>583.33333333333337</v>
      </c>
      <c r="G35" s="94">
        <f>'PE-PARTIDA'!$H36/12</f>
        <v>583.33333333333337</v>
      </c>
      <c r="H35" s="94">
        <f>'PE-PARTIDA'!$H36/12</f>
        <v>583.33333333333337</v>
      </c>
      <c r="I35" s="94">
        <f>'PE-PARTIDA'!$H36/12</f>
        <v>583.33333333333337</v>
      </c>
      <c r="J35" s="94">
        <f>'PE-PARTIDA'!$H36/12</f>
        <v>583.33333333333337</v>
      </c>
      <c r="K35" s="94">
        <f>'PE-PARTIDA'!$H36/12</f>
        <v>583.33333333333337</v>
      </c>
      <c r="L35" s="94">
        <f>'PE-PARTIDA'!$H36/12</f>
        <v>583.33333333333337</v>
      </c>
      <c r="M35" s="94">
        <f>'PE-PARTIDA'!$H36/12</f>
        <v>583.33333333333337</v>
      </c>
      <c r="N35" s="94">
        <f>'PE-PARTIDA'!$H36/12</f>
        <v>583.33333333333337</v>
      </c>
      <c r="O35" s="94">
        <f>'PE-PARTIDA'!$H36/12</f>
        <v>583.33333333333337</v>
      </c>
    </row>
    <row r="36" spans="1:15" s="6" customFormat="1" x14ac:dyDescent="0.25">
      <c r="A36" s="80">
        <v>2461</v>
      </c>
      <c r="B36" s="81" t="s">
        <v>20</v>
      </c>
      <c r="C36" s="97">
        <f t="shared" si="0"/>
        <v>55000.000000000007</v>
      </c>
      <c r="D36" s="94">
        <f>'PE-PARTIDA'!$H37/12</f>
        <v>4583.333333333333</v>
      </c>
      <c r="E36" s="94">
        <f>'PE-PARTIDA'!$H37/12</f>
        <v>4583.333333333333</v>
      </c>
      <c r="F36" s="94">
        <f>'PE-PARTIDA'!$H37/12</f>
        <v>4583.333333333333</v>
      </c>
      <c r="G36" s="94">
        <f>'PE-PARTIDA'!$H37/12</f>
        <v>4583.333333333333</v>
      </c>
      <c r="H36" s="94">
        <f>'PE-PARTIDA'!$H37/12</f>
        <v>4583.333333333333</v>
      </c>
      <c r="I36" s="94">
        <f>'PE-PARTIDA'!$H37/12</f>
        <v>4583.333333333333</v>
      </c>
      <c r="J36" s="94">
        <f>'PE-PARTIDA'!$H37/12</f>
        <v>4583.333333333333</v>
      </c>
      <c r="K36" s="94">
        <f>'PE-PARTIDA'!$H37/12</f>
        <v>4583.333333333333</v>
      </c>
      <c r="L36" s="94">
        <f>'PE-PARTIDA'!$H37/12</f>
        <v>4583.333333333333</v>
      </c>
      <c r="M36" s="94">
        <f>'PE-PARTIDA'!$H37/12</f>
        <v>4583.333333333333</v>
      </c>
      <c r="N36" s="94">
        <f>'PE-PARTIDA'!$H37/12</f>
        <v>4583.333333333333</v>
      </c>
      <c r="O36" s="94">
        <f>'PE-PARTIDA'!$H37/12</f>
        <v>4583.333333333333</v>
      </c>
    </row>
    <row r="37" spans="1:15" s="6" customFormat="1" x14ac:dyDescent="0.25">
      <c r="A37" s="80">
        <v>2471</v>
      </c>
      <c r="B37" s="81" t="s">
        <v>21</v>
      </c>
      <c r="C37" s="97">
        <f t="shared" si="0"/>
        <v>232000.00000000003</v>
      </c>
      <c r="D37" s="94">
        <f>'PE-PARTIDA'!$H38/12</f>
        <v>19333.333333333332</v>
      </c>
      <c r="E37" s="94">
        <f>'PE-PARTIDA'!$H38/12</f>
        <v>19333.333333333332</v>
      </c>
      <c r="F37" s="94">
        <f>'PE-PARTIDA'!$H38/12</f>
        <v>19333.333333333332</v>
      </c>
      <c r="G37" s="94">
        <f>'PE-PARTIDA'!$H38/12</f>
        <v>19333.333333333332</v>
      </c>
      <c r="H37" s="94">
        <f>'PE-PARTIDA'!$H38/12</f>
        <v>19333.333333333332</v>
      </c>
      <c r="I37" s="94">
        <f>'PE-PARTIDA'!$H38/12</f>
        <v>19333.333333333332</v>
      </c>
      <c r="J37" s="94">
        <f>'PE-PARTIDA'!$H38/12</f>
        <v>19333.333333333332</v>
      </c>
      <c r="K37" s="94">
        <f>'PE-PARTIDA'!$H38/12</f>
        <v>19333.333333333332</v>
      </c>
      <c r="L37" s="94">
        <f>'PE-PARTIDA'!$H38/12</f>
        <v>19333.333333333332</v>
      </c>
      <c r="M37" s="94">
        <f>'PE-PARTIDA'!$H38/12</f>
        <v>19333.333333333332</v>
      </c>
      <c r="N37" s="94">
        <f>'PE-PARTIDA'!$H38/12</f>
        <v>19333.333333333332</v>
      </c>
      <c r="O37" s="94">
        <f>'PE-PARTIDA'!$H38/12</f>
        <v>19333.333333333332</v>
      </c>
    </row>
    <row r="38" spans="1:15" s="6" customFormat="1" x14ac:dyDescent="0.25">
      <c r="A38" s="80">
        <v>2481</v>
      </c>
      <c r="B38" s="81" t="s">
        <v>22</v>
      </c>
      <c r="C38" s="97">
        <f t="shared" si="0"/>
        <v>30000</v>
      </c>
      <c r="D38" s="94">
        <f>'PE-PARTIDA'!$H39/12</f>
        <v>2500</v>
      </c>
      <c r="E38" s="94">
        <f>'PE-PARTIDA'!$H39/12</f>
        <v>2500</v>
      </c>
      <c r="F38" s="94">
        <f>'PE-PARTIDA'!$H39/12</f>
        <v>2500</v>
      </c>
      <c r="G38" s="94">
        <f>'PE-PARTIDA'!$H39/12</f>
        <v>2500</v>
      </c>
      <c r="H38" s="94">
        <f>'PE-PARTIDA'!$H39/12</f>
        <v>2500</v>
      </c>
      <c r="I38" s="94">
        <f>'PE-PARTIDA'!$H39/12</f>
        <v>2500</v>
      </c>
      <c r="J38" s="94">
        <f>'PE-PARTIDA'!$H39/12</f>
        <v>2500</v>
      </c>
      <c r="K38" s="94">
        <f>'PE-PARTIDA'!$H39/12</f>
        <v>2500</v>
      </c>
      <c r="L38" s="94">
        <f>'PE-PARTIDA'!$H39/12</f>
        <v>2500</v>
      </c>
      <c r="M38" s="94">
        <f>'PE-PARTIDA'!$H39/12</f>
        <v>2500</v>
      </c>
      <c r="N38" s="94">
        <f>'PE-PARTIDA'!$H39/12</f>
        <v>2500</v>
      </c>
      <c r="O38" s="94">
        <f>'PE-PARTIDA'!$H39/12</f>
        <v>2500</v>
      </c>
    </row>
    <row r="39" spans="1:15" s="6" customFormat="1" x14ac:dyDescent="0.25">
      <c r="A39" s="80">
        <v>2491</v>
      </c>
      <c r="B39" s="81" t="s">
        <v>23</v>
      </c>
      <c r="C39" s="97">
        <f t="shared" si="0"/>
        <v>35000.000000000007</v>
      </c>
      <c r="D39" s="94">
        <f>'PE-PARTIDA'!$H40/12</f>
        <v>2916.6666666666665</v>
      </c>
      <c r="E39" s="94">
        <f>'PE-PARTIDA'!$H40/12</f>
        <v>2916.6666666666665</v>
      </c>
      <c r="F39" s="94">
        <f>'PE-PARTIDA'!$H40/12</f>
        <v>2916.6666666666665</v>
      </c>
      <c r="G39" s="94">
        <f>'PE-PARTIDA'!$H40/12</f>
        <v>2916.6666666666665</v>
      </c>
      <c r="H39" s="94">
        <f>'PE-PARTIDA'!$H40/12</f>
        <v>2916.6666666666665</v>
      </c>
      <c r="I39" s="94">
        <f>'PE-PARTIDA'!$H40/12</f>
        <v>2916.6666666666665</v>
      </c>
      <c r="J39" s="94">
        <f>'PE-PARTIDA'!$H40/12</f>
        <v>2916.6666666666665</v>
      </c>
      <c r="K39" s="94">
        <f>'PE-PARTIDA'!$H40/12</f>
        <v>2916.6666666666665</v>
      </c>
      <c r="L39" s="94">
        <f>'PE-PARTIDA'!$H40/12</f>
        <v>2916.6666666666665</v>
      </c>
      <c r="M39" s="94">
        <f>'PE-PARTIDA'!$H40/12</f>
        <v>2916.6666666666665</v>
      </c>
      <c r="N39" s="94">
        <f>'PE-PARTIDA'!$H40/12</f>
        <v>2916.6666666666665</v>
      </c>
      <c r="O39" s="94">
        <f>'PE-PARTIDA'!$H40/12</f>
        <v>2916.6666666666665</v>
      </c>
    </row>
    <row r="40" spans="1:15" s="6" customFormat="1" x14ac:dyDescent="0.25">
      <c r="A40" s="80">
        <v>2511</v>
      </c>
      <c r="B40" s="81" t="s">
        <v>153</v>
      </c>
      <c r="C40" s="97">
        <f t="shared" si="0"/>
        <v>75000</v>
      </c>
      <c r="D40" s="94">
        <f>'PE-PARTIDA'!$H41/12</f>
        <v>6250</v>
      </c>
      <c r="E40" s="94">
        <f>'PE-PARTIDA'!$H41/12</f>
        <v>6250</v>
      </c>
      <c r="F40" s="94">
        <f>'PE-PARTIDA'!$H41/12</f>
        <v>6250</v>
      </c>
      <c r="G40" s="94">
        <f>'PE-PARTIDA'!$H41/12</f>
        <v>6250</v>
      </c>
      <c r="H40" s="94">
        <f>'PE-PARTIDA'!$H41/12</f>
        <v>6250</v>
      </c>
      <c r="I40" s="94">
        <f>'PE-PARTIDA'!$H41/12</f>
        <v>6250</v>
      </c>
      <c r="J40" s="94">
        <f>'PE-PARTIDA'!$H41/12</f>
        <v>6250</v>
      </c>
      <c r="K40" s="94">
        <f>'PE-PARTIDA'!$H41/12</f>
        <v>6250</v>
      </c>
      <c r="L40" s="94">
        <f>'PE-PARTIDA'!$H41/12</f>
        <v>6250</v>
      </c>
      <c r="M40" s="94">
        <f>'PE-PARTIDA'!$H41/12</f>
        <v>6250</v>
      </c>
      <c r="N40" s="94">
        <f>'PE-PARTIDA'!$H41/12</f>
        <v>6250</v>
      </c>
      <c r="O40" s="94">
        <f>'PE-PARTIDA'!$H41/12</f>
        <v>6250</v>
      </c>
    </row>
    <row r="41" spans="1:15" s="6" customFormat="1" x14ac:dyDescent="0.25">
      <c r="A41" s="80">
        <v>2521</v>
      </c>
      <c r="B41" s="81" t="s">
        <v>24</v>
      </c>
      <c r="C41" s="97">
        <f t="shared" si="0"/>
        <v>155000</v>
      </c>
      <c r="D41" s="94">
        <f>'PE-PARTIDA'!$H42/12</f>
        <v>12916.666666666666</v>
      </c>
      <c r="E41" s="94">
        <f>'PE-PARTIDA'!$H42/12</f>
        <v>12916.666666666666</v>
      </c>
      <c r="F41" s="94">
        <f>'PE-PARTIDA'!$H42/12</f>
        <v>12916.666666666666</v>
      </c>
      <c r="G41" s="94">
        <f>'PE-PARTIDA'!$H42/12</f>
        <v>12916.666666666666</v>
      </c>
      <c r="H41" s="94">
        <f>'PE-PARTIDA'!$H42/12</f>
        <v>12916.666666666666</v>
      </c>
      <c r="I41" s="94">
        <f>'PE-PARTIDA'!$H42/12</f>
        <v>12916.666666666666</v>
      </c>
      <c r="J41" s="94">
        <f>'PE-PARTIDA'!$H42/12</f>
        <v>12916.666666666666</v>
      </c>
      <c r="K41" s="94">
        <f>'PE-PARTIDA'!$H42/12</f>
        <v>12916.666666666666</v>
      </c>
      <c r="L41" s="94">
        <f>'PE-PARTIDA'!$H42/12</f>
        <v>12916.666666666666</v>
      </c>
      <c r="M41" s="94">
        <f>'PE-PARTIDA'!$H42/12</f>
        <v>12916.666666666666</v>
      </c>
      <c r="N41" s="94">
        <f>'PE-PARTIDA'!$H42/12</f>
        <v>12916.666666666666</v>
      </c>
      <c r="O41" s="94">
        <f>'PE-PARTIDA'!$H42/12</f>
        <v>12916.666666666666</v>
      </c>
    </row>
    <row r="42" spans="1:15" s="6" customFormat="1" x14ac:dyDescent="0.25">
      <c r="A42" s="80">
        <v>2531</v>
      </c>
      <c r="B42" s="81" t="s">
        <v>25</v>
      </c>
      <c r="C42" s="97">
        <f t="shared" si="0"/>
        <v>7500</v>
      </c>
      <c r="D42" s="94">
        <f>'PE-PARTIDA'!$H43/12</f>
        <v>625</v>
      </c>
      <c r="E42" s="94">
        <f>'PE-PARTIDA'!$H43/12</f>
        <v>625</v>
      </c>
      <c r="F42" s="94">
        <f>'PE-PARTIDA'!$H43/12</f>
        <v>625</v>
      </c>
      <c r="G42" s="94">
        <f>'PE-PARTIDA'!$H43/12</f>
        <v>625</v>
      </c>
      <c r="H42" s="94">
        <f>'PE-PARTIDA'!$H43/12</f>
        <v>625</v>
      </c>
      <c r="I42" s="94">
        <f>'PE-PARTIDA'!$H43/12</f>
        <v>625</v>
      </c>
      <c r="J42" s="94">
        <f>'PE-PARTIDA'!$H43/12</f>
        <v>625</v>
      </c>
      <c r="K42" s="94">
        <f>'PE-PARTIDA'!$H43/12</f>
        <v>625</v>
      </c>
      <c r="L42" s="94">
        <f>'PE-PARTIDA'!$H43/12</f>
        <v>625</v>
      </c>
      <c r="M42" s="94">
        <f>'PE-PARTIDA'!$H43/12</f>
        <v>625</v>
      </c>
      <c r="N42" s="94">
        <f>'PE-PARTIDA'!$H43/12</f>
        <v>625</v>
      </c>
      <c r="O42" s="94">
        <f>'PE-PARTIDA'!$H43/12</f>
        <v>625</v>
      </c>
    </row>
    <row r="43" spans="1:15" s="6" customFormat="1" x14ac:dyDescent="0.25">
      <c r="A43" s="80">
        <v>2541</v>
      </c>
      <c r="B43" s="81" t="s">
        <v>26</v>
      </c>
      <c r="C43" s="97">
        <f t="shared" si="0"/>
        <v>1500</v>
      </c>
      <c r="D43" s="94">
        <f>'PE-PARTIDA'!$H44/12</f>
        <v>125</v>
      </c>
      <c r="E43" s="94">
        <f>'PE-PARTIDA'!$H44/12</f>
        <v>125</v>
      </c>
      <c r="F43" s="94">
        <f>'PE-PARTIDA'!$H44/12</f>
        <v>125</v>
      </c>
      <c r="G43" s="94">
        <f>'PE-PARTIDA'!$H44/12</f>
        <v>125</v>
      </c>
      <c r="H43" s="94">
        <f>'PE-PARTIDA'!$H44/12</f>
        <v>125</v>
      </c>
      <c r="I43" s="94">
        <f>'PE-PARTIDA'!$H44/12</f>
        <v>125</v>
      </c>
      <c r="J43" s="94">
        <f>'PE-PARTIDA'!$H44/12</f>
        <v>125</v>
      </c>
      <c r="K43" s="94">
        <f>'PE-PARTIDA'!$H44/12</f>
        <v>125</v>
      </c>
      <c r="L43" s="94">
        <f>'PE-PARTIDA'!$H44/12</f>
        <v>125</v>
      </c>
      <c r="M43" s="94">
        <f>'PE-PARTIDA'!$H44/12</f>
        <v>125</v>
      </c>
      <c r="N43" s="94">
        <f>'PE-PARTIDA'!$H44/12</f>
        <v>125</v>
      </c>
      <c r="O43" s="94">
        <f>'PE-PARTIDA'!$H44/12</f>
        <v>125</v>
      </c>
    </row>
    <row r="44" spans="1:15" s="6" customFormat="1" x14ac:dyDescent="0.25">
      <c r="A44" s="80">
        <v>2551</v>
      </c>
      <c r="B44" s="81" t="s">
        <v>27</v>
      </c>
      <c r="C44" s="97">
        <f t="shared" si="0"/>
        <v>46999.999999999993</v>
      </c>
      <c r="D44" s="94">
        <f>'PE-PARTIDA'!$H45/12</f>
        <v>3916.6666666666665</v>
      </c>
      <c r="E44" s="94">
        <f>'PE-PARTIDA'!$H45/12</f>
        <v>3916.6666666666665</v>
      </c>
      <c r="F44" s="94">
        <f>'PE-PARTIDA'!$H45/12</f>
        <v>3916.6666666666665</v>
      </c>
      <c r="G44" s="94">
        <f>'PE-PARTIDA'!$H45/12</f>
        <v>3916.6666666666665</v>
      </c>
      <c r="H44" s="94">
        <f>'PE-PARTIDA'!$H45/12</f>
        <v>3916.6666666666665</v>
      </c>
      <c r="I44" s="94">
        <f>'PE-PARTIDA'!$H45/12</f>
        <v>3916.6666666666665</v>
      </c>
      <c r="J44" s="94">
        <f>'PE-PARTIDA'!$H45/12</f>
        <v>3916.6666666666665</v>
      </c>
      <c r="K44" s="94">
        <f>'PE-PARTIDA'!$H45/12</f>
        <v>3916.6666666666665</v>
      </c>
      <c r="L44" s="94">
        <f>'PE-PARTIDA'!$H45/12</f>
        <v>3916.6666666666665</v>
      </c>
      <c r="M44" s="94">
        <f>'PE-PARTIDA'!$H45/12</f>
        <v>3916.6666666666665</v>
      </c>
      <c r="N44" s="94">
        <f>'PE-PARTIDA'!$H45/12</f>
        <v>3916.6666666666665</v>
      </c>
      <c r="O44" s="94">
        <f>'PE-PARTIDA'!$H45/12</f>
        <v>3916.6666666666665</v>
      </c>
    </row>
    <row r="45" spans="1:15" s="6" customFormat="1" x14ac:dyDescent="0.25">
      <c r="A45" s="80">
        <v>2561</v>
      </c>
      <c r="B45" s="81" t="s">
        <v>154</v>
      </c>
      <c r="C45" s="97">
        <f t="shared" si="0"/>
        <v>114500.00000000001</v>
      </c>
      <c r="D45" s="94">
        <f>'PE-PARTIDA'!$H46/12</f>
        <v>9541.6666666666661</v>
      </c>
      <c r="E45" s="94">
        <f>'PE-PARTIDA'!$H46/12</f>
        <v>9541.6666666666661</v>
      </c>
      <c r="F45" s="94">
        <f>'PE-PARTIDA'!$H46/12</f>
        <v>9541.6666666666661</v>
      </c>
      <c r="G45" s="94">
        <f>'PE-PARTIDA'!$H46/12</f>
        <v>9541.6666666666661</v>
      </c>
      <c r="H45" s="94">
        <f>'PE-PARTIDA'!$H46/12</f>
        <v>9541.6666666666661</v>
      </c>
      <c r="I45" s="94">
        <f>'PE-PARTIDA'!$H46/12</f>
        <v>9541.6666666666661</v>
      </c>
      <c r="J45" s="94">
        <f>'PE-PARTIDA'!$H46/12</f>
        <v>9541.6666666666661</v>
      </c>
      <c r="K45" s="94">
        <f>'PE-PARTIDA'!$H46/12</f>
        <v>9541.6666666666661</v>
      </c>
      <c r="L45" s="94">
        <f>'PE-PARTIDA'!$H46/12</f>
        <v>9541.6666666666661</v>
      </c>
      <c r="M45" s="94">
        <f>'PE-PARTIDA'!$H46/12</f>
        <v>9541.6666666666661</v>
      </c>
      <c r="N45" s="94">
        <f>'PE-PARTIDA'!$H46/12</f>
        <v>9541.6666666666661</v>
      </c>
      <c r="O45" s="94">
        <f>'PE-PARTIDA'!$H46/12</f>
        <v>9541.6666666666661</v>
      </c>
    </row>
    <row r="46" spans="1:15" s="6" customFormat="1" x14ac:dyDescent="0.25">
      <c r="A46" s="80">
        <v>2591</v>
      </c>
      <c r="B46" s="81" t="s">
        <v>155</v>
      </c>
      <c r="C46" s="97">
        <f t="shared" si="0"/>
        <v>24999.999999999996</v>
      </c>
      <c r="D46" s="94">
        <f>'PE-PARTIDA'!$H47/12</f>
        <v>2083.3333333333335</v>
      </c>
      <c r="E46" s="94">
        <f>'PE-PARTIDA'!$H47/12</f>
        <v>2083.3333333333335</v>
      </c>
      <c r="F46" s="94">
        <f>'PE-PARTIDA'!$H47/12</f>
        <v>2083.3333333333335</v>
      </c>
      <c r="G46" s="94">
        <f>'PE-PARTIDA'!$H47/12</f>
        <v>2083.3333333333335</v>
      </c>
      <c r="H46" s="94">
        <f>'PE-PARTIDA'!$H47/12</f>
        <v>2083.3333333333335</v>
      </c>
      <c r="I46" s="94">
        <f>'PE-PARTIDA'!$H47/12</f>
        <v>2083.3333333333335</v>
      </c>
      <c r="J46" s="94">
        <f>'PE-PARTIDA'!$H47/12</f>
        <v>2083.3333333333335</v>
      </c>
      <c r="K46" s="94">
        <f>'PE-PARTIDA'!$H47/12</f>
        <v>2083.3333333333335</v>
      </c>
      <c r="L46" s="94">
        <f>'PE-PARTIDA'!$H47/12</f>
        <v>2083.3333333333335</v>
      </c>
      <c r="M46" s="94">
        <f>'PE-PARTIDA'!$H47/12</f>
        <v>2083.3333333333335</v>
      </c>
      <c r="N46" s="94">
        <f>'PE-PARTIDA'!$H47/12</f>
        <v>2083.3333333333335</v>
      </c>
      <c r="O46" s="94">
        <f>'PE-PARTIDA'!$H47/12</f>
        <v>2083.3333333333335</v>
      </c>
    </row>
    <row r="47" spans="1:15" s="6" customFormat="1" x14ac:dyDescent="0.25">
      <c r="A47" s="80">
        <v>2611</v>
      </c>
      <c r="B47" s="81" t="s">
        <v>133</v>
      </c>
      <c r="C47" s="97">
        <f t="shared" si="0"/>
        <v>210000</v>
      </c>
      <c r="D47" s="94">
        <f>'PE-PARTIDA'!$H48/12</f>
        <v>17500</v>
      </c>
      <c r="E47" s="94">
        <f>'PE-PARTIDA'!$H48/12</f>
        <v>17500</v>
      </c>
      <c r="F47" s="94">
        <f>'PE-PARTIDA'!$H48/12</f>
        <v>17500</v>
      </c>
      <c r="G47" s="94">
        <f>'PE-PARTIDA'!$H48/12</f>
        <v>17500</v>
      </c>
      <c r="H47" s="94">
        <f>'PE-PARTIDA'!$H48/12</f>
        <v>17500</v>
      </c>
      <c r="I47" s="94">
        <f>'PE-PARTIDA'!$H48/12</f>
        <v>17500</v>
      </c>
      <c r="J47" s="94">
        <f>'PE-PARTIDA'!$H48/12</f>
        <v>17500</v>
      </c>
      <c r="K47" s="94">
        <f>'PE-PARTIDA'!$H48/12</f>
        <v>17500</v>
      </c>
      <c r="L47" s="94">
        <f>'PE-PARTIDA'!$H48/12</f>
        <v>17500</v>
      </c>
      <c r="M47" s="94">
        <f>'PE-PARTIDA'!$H48/12</f>
        <v>17500</v>
      </c>
      <c r="N47" s="94">
        <f>'PE-PARTIDA'!$H48/12</f>
        <v>17500</v>
      </c>
      <c r="O47" s="94">
        <f>'PE-PARTIDA'!$H48/12</f>
        <v>17500</v>
      </c>
    </row>
    <row r="48" spans="1:15" x14ac:dyDescent="0.25">
      <c r="A48" s="80">
        <v>2614</v>
      </c>
      <c r="B48" s="79" t="s">
        <v>140</v>
      </c>
      <c r="C48" s="97">
        <f t="shared" si="0"/>
        <v>20000</v>
      </c>
      <c r="D48" s="94">
        <f>'PE-PARTIDA'!$H49/12</f>
        <v>1666.6666666666667</v>
      </c>
      <c r="E48" s="94">
        <f>'PE-PARTIDA'!$H49/12</f>
        <v>1666.6666666666667</v>
      </c>
      <c r="F48" s="94">
        <f>'PE-PARTIDA'!$H49/12</f>
        <v>1666.6666666666667</v>
      </c>
      <c r="G48" s="94">
        <f>'PE-PARTIDA'!$H49/12</f>
        <v>1666.6666666666667</v>
      </c>
      <c r="H48" s="94">
        <f>'PE-PARTIDA'!$H49/12</f>
        <v>1666.6666666666667</v>
      </c>
      <c r="I48" s="94">
        <f>'PE-PARTIDA'!$H49/12</f>
        <v>1666.6666666666667</v>
      </c>
      <c r="J48" s="94">
        <f>'PE-PARTIDA'!$H49/12</f>
        <v>1666.6666666666667</v>
      </c>
      <c r="K48" s="94">
        <f>'PE-PARTIDA'!$H49/12</f>
        <v>1666.6666666666667</v>
      </c>
      <c r="L48" s="94">
        <f>'PE-PARTIDA'!$H49/12</f>
        <v>1666.6666666666667</v>
      </c>
      <c r="M48" s="94">
        <f>'PE-PARTIDA'!$H49/12</f>
        <v>1666.6666666666667</v>
      </c>
      <c r="N48" s="94">
        <f>'PE-PARTIDA'!$H49/12</f>
        <v>1666.6666666666667</v>
      </c>
      <c r="O48" s="94">
        <f>'PE-PARTIDA'!$H49/12</f>
        <v>1666.6666666666667</v>
      </c>
    </row>
    <row r="49" spans="1:15" ht="13.5" customHeight="1" x14ac:dyDescent="0.25">
      <c r="A49" s="80">
        <v>2711</v>
      </c>
      <c r="B49" s="81" t="s">
        <v>141</v>
      </c>
      <c r="C49" s="97">
        <f t="shared" si="0"/>
        <v>129999.99999999999</v>
      </c>
      <c r="D49" s="94">
        <f>'PE-PARTIDA'!$H50/12</f>
        <v>10833.333333333334</v>
      </c>
      <c r="E49" s="94">
        <f>'PE-PARTIDA'!$H50/12</f>
        <v>10833.333333333334</v>
      </c>
      <c r="F49" s="94">
        <f>'PE-PARTIDA'!$H50/12</f>
        <v>10833.333333333334</v>
      </c>
      <c r="G49" s="94">
        <f>'PE-PARTIDA'!$H50/12</f>
        <v>10833.333333333334</v>
      </c>
      <c r="H49" s="94">
        <f>'PE-PARTIDA'!$H50/12</f>
        <v>10833.333333333334</v>
      </c>
      <c r="I49" s="94">
        <f>'PE-PARTIDA'!$H50/12</f>
        <v>10833.333333333334</v>
      </c>
      <c r="J49" s="94">
        <f>'PE-PARTIDA'!$H50/12</f>
        <v>10833.333333333334</v>
      </c>
      <c r="K49" s="94">
        <f>'PE-PARTIDA'!$H50/12</f>
        <v>10833.333333333334</v>
      </c>
      <c r="L49" s="94">
        <f>'PE-PARTIDA'!$H50/12</f>
        <v>10833.333333333334</v>
      </c>
      <c r="M49" s="94">
        <f>'PE-PARTIDA'!$H50/12</f>
        <v>10833.333333333334</v>
      </c>
      <c r="N49" s="94">
        <f>'PE-PARTIDA'!$H50/12</f>
        <v>10833.333333333334</v>
      </c>
      <c r="O49" s="94">
        <f>'PE-PARTIDA'!$H50/12</f>
        <v>10833.333333333334</v>
      </c>
    </row>
    <row r="50" spans="1:15" x14ac:dyDescent="0.25">
      <c r="A50" s="80">
        <v>2721</v>
      </c>
      <c r="B50" s="81" t="s">
        <v>28</v>
      </c>
      <c r="C50" s="97">
        <f t="shared" si="0"/>
        <v>18000</v>
      </c>
      <c r="D50" s="94">
        <f>'PE-PARTIDA'!$H51/12</f>
        <v>1500</v>
      </c>
      <c r="E50" s="94">
        <f>'PE-PARTIDA'!$H51/12</f>
        <v>1500</v>
      </c>
      <c r="F50" s="94">
        <f>'PE-PARTIDA'!$H51/12</f>
        <v>1500</v>
      </c>
      <c r="G50" s="94">
        <f>'PE-PARTIDA'!$H51/12</f>
        <v>1500</v>
      </c>
      <c r="H50" s="94">
        <f>'PE-PARTIDA'!$H51/12</f>
        <v>1500</v>
      </c>
      <c r="I50" s="94">
        <f>'PE-PARTIDA'!$H51/12</f>
        <v>1500</v>
      </c>
      <c r="J50" s="94">
        <f>'PE-PARTIDA'!$H51/12</f>
        <v>1500</v>
      </c>
      <c r="K50" s="94">
        <f>'PE-PARTIDA'!$H51/12</f>
        <v>1500</v>
      </c>
      <c r="L50" s="94">
        <f>'PE-PARTIDA'!$H51/12</f>
        <v>1500</v>
      </c>
      <c r="M50" s="94">
        <f>'PE-PARTIDA'!$H51/12</f>
        <v>1500</v>
      </c>
      <c r="N50" s="94">
        <f>'PE-PARTIDA'!$H51/12</f>
        <v>1500</v>
      </c>
      <c r="O50" s="94">
        <f>'PE-PARTIDA'!$H51/12</f>
        <v>1500</v>
      </c>
    </row>
    <row r="51" spans="1:15" x14ac:dyDescent="0.25">
      <c r="A51" s="80">
        <v>2731</v>
      </c>
      <c r="B51" s="81" t="s">
        <v>29</v>
      </c>
      <c r="C51" s="97">
        <f t="shared" si="0"/>
        <v>24999.999999999996</v>
      </c>
      <c r="D51" s="94">
        <f>'PE-PARTIDA'!$H52/12</f>
        <v>2083.3333333333335</v>
      </c>
      <c r="E51" s="94">
        <f>'PE-PARTIDA'!$H52/12</f>
        <v>2083.3333333333335</v>
      </c>
      <c r="F51" s="94">
        <f>'PE-PARTIDA'!$H52/12</f>
        <v>2083.3333333333335</v>
      </c>
      <c r="G51" s="94">
        <f>'PE-PARTIDA'!$H52/12</f>
        <v>2083.3333333333335</v>
      </c>
      <c r="H51" s="94">
        <f>'PE-PARTIDA'!$H52/12</f>
        <v>2083.3333333333335</v>
      </c>
      <c r="I51" s="94">
        <f>'PE-PARTIDA'!$H52/12</f>
        <v>2083.3333333333335</v>
      </c>
      <c r="J51" s="94">
        <f>'PE-PARTIDA'!$H52/12</f>
        <v>2083.3333333333335</v>
      </c>
      <c r="K51" s="94">
        <f>'PE-PARTIDA'!$H52/12</f>
        <v>2083.3333333333335</v>
      </c>
      <c r="L51" s="94">
        <f>'PE-PARTIDA'!$H52/12</f>
        <v>2083.3333333333335</v>
      </c>
      <c r="M51" s="94">
        <f>'PE-PARTIDA'!$H52/12</f>
        <v>2083.3333333333335</v>
      </c>
      <c r="N51" s="94">
        <f>'PE-PARTIDA'!$H52/12</f>
        <v>2083.3333333333335</v>
      </c>
      <c r="O51" s="94">
        <f>'PE-PARTIDA'!$H52/12</f>
        <v>2083.3333333333335</v>
      </c>
    </row>
    <row r="52" spans="1:15" x14ac:dyDescent="0.25">
      <c r="A52" s="80">
        <v>2741</v>
      </c>
      <c r="B52" s="81" t="s">
        <v>170</v>
      </c>
      <c r="C52" s="97">
        <f t="shared" si="0"/>
        <v>2000.0000000000002</v>
      </c>
      <c r="D52" s="94">
        <f>'PE-PARTIDA'!$H53/12</f>
        <v>166.66666666666666</v>
      </c>
      <c r="E52" s="94">
        <f>'PE-PARTIDA'!$H53/12</f>
        <v>166.66666666666666</v>
      </c>
      <c r="F52" s="94">
        <f>'PE-PARTIDA'!$H53/12</f>
        <v>166.66666666666666</v>
      </c>
      <c r="G52" s="94">
        <f>'PE-PARTIDA'!$H53/12</f>
        <v>166.66666666666666</v>
      </c>
      <c r="H52" s="94">
        <f>'PE-PARTIDA'!$H53/12</f>
        <v>166.66666666666666</v>
      </c>
      <c r="I52" s="94">
        <f>'PE-PARTIDA'!$H53/12</f>
        <v>166.66666666666666</v>
      </c>
      <c r="J52" s="94">
        <f>'PE-PARTIDA'!$H53/12</f>
        <v>166.66666666666666</v>
      </c>
      <c r="K52" s="94">
        <f>'PE-PARTIDA'!$H53/12</f>
        <v>166.66666666666666</v>
      </c>
      <c r="L52" s="94">
        <f>'PE-PARTIDA'!$H53/12</f>
        <v>166.66666666666666</v>
      </c>
      <c r="M52" s="94">
        <f>'PE-PARTIDA'!$H53/12</f>
        <v>166.66666666666666</v>
      </c>
      <c r="N52" s="94">
        <f>'PE-PARTIDA'!$H53/12</f>
        <v>166.66666666666666</v>
      </c>
      <c r="O52" s="94">
        <f>'PE-PARTIDA'!$H53/12</f>
        <v>166.66666666666666</v>
      </c>
    </row>
    <row r="53" spans="1:15" x14ac:dyDescent="0.25">
      <c r="A53" s="80">
        <v>2751</v>
      </c>
      <c r="B53" s="81" t="s">
        <v>156</v>
      </c>
      <c r="C53" s="97">
        <f t="shared" si="0"/>
        <v>15000</v>
      </c>
      <c r="D53" s="94"/>
      <c r="E53" s="94">
        <v>7500</v>
      </c>
      <c r="F53" s="94"/>
      <c r="G53" s="94"/>
      <c r="H53" s="94"/>
      <c r="I53" s="94"/>
      <c r="J53" s="94"/>
      <c r="K53" s="94">
        <v>7500</v>
      </c>
      <c r="L53" s="94"/>
      <c r="M53" s="94"/>
      <c r="N53" s="94"/>
      <c r="O53" s="94"/>
    </row>
    <row r="54" spans="1:15" x14ac:dyDescent="0.25">
      <c r="A54" s="80">
        <v>2911</v>
      </c>
      <c r="B54" s="81" t="s">
        <v>30</v>
      </c>
      <c r="C54" s="97">
        <f t="shared" si="0"/>
        <v>15000</v>
      </c>
      <c r="D54" s="94"/>
      <c r="E54" s="94"/>
      <c r="F54" s="94"/>
      <c r="G54" s="94">
        <v>15000</v>
      </c>
      <c r="H54" s="94"/>
      <c r="I54" s="94"/>
      <c r="J54" s="94"/>
      <c r="K54" s="94"/>
      <c r="L54" s="94"/>
      <c r="M54" s="94"/>
      <c r="N54" s="94"/>
      <c r="O54" s="94"/>
    </row>
    <row r="55" spans="1:15" x14ac:dyDescent="0.25">
      <c r="A55" s="80">
        <v>2921</v>
      </c>
      <c r="B55" s="81" t="s">
        <v>31</v>
      </c>
      <c r="C55" s="97">
        <f t="shared" si="0"/>
        <v>4000.0000000000005</v>
      </c>
      <c r="D55" s="94">
        <f>'PE-PARTIDA'!$H56/12</f>
        <v>333.33333333333331</v>
      </c>
      <c r="E55" s="94">
        <f>'PE-PARTIDA'!$H56/12</f>
        <v>333.33333333333331</v>
      </c>
      <c r="F55" s="94">
        <f>'PE-PARTIDA'!$H56/12</f>
        <v>333.33333333333331</v>
      </c>
      <c r="G55" s="94">
        <f>'PE-PARTIDA'!$H56/12</f>
        <v>333.33333333333331</v>
      </c>
      <c r="H55" s="94">
        <f>'PE-PARTIDA'!$H56/12</f>
        <v>333.33333333333331</v>
      </c>
      <c r="I55" s="94">
        <f>'PE-PARTIDA'!$H56/12</f>
        <v>333.33333333333331</v>
      </c>
      <c r="J55" s="94">
        <f>'PE-PARTIDA'!$H56/12</f>
        <v>333.33333333333331</v>
      </c>
      <c r="K55" s="94">
        <f>'PE-PARTIDA'!$H56/12</f>
        <v>333.33333333333331</v>
      </c>
      <c r="L55" s="94">
        <f>'PE-PARTIDA'!$H56/12</f>
        <v>333.33333333333331</v>
      </c>
      <c r="M55" s="94">
        <f>'PE-PARTIDA'!$H56/12</f>
        <v>333.33333333333331</v>
      </c>
      <c r="N55" s="94">
        <f>'PE-PARTIDA'!$H56/12</f>
        <v>333.33333333333331</v>
      </c>
      <c r="O55" s="94">
        <f>'PE-PARTIDA'!$H56/12</f>
        <v>333.33333333333331</v>
      </c>
    </row>
    <row r="56" spans="1:15" ht="25.5" x14ac:dyDescent="0.25">
      <c r="A56" s="80">
        <v>2931</v>
      </c>
      <c r="B56" s="81" t="s">
        <v>32</v>
      </c>
      <c r="C56" s="97">
        <f t="shared" si="0"/>
        <v>20000</v>
      </c>
      <c r="D56" s="94">
        <f>'PE-PARTIDA'!$H57/12</f>
        <v>1666.6666666666667</v>
      </c>
      <c r="E56" s="94">
        <f>'PE-PARTIDA'!$H57/12</f>
        <v>1666.6666666666667</v>
      </c>
      <c r="F56" s="94">
        <f>'PE-PARTIDA'!$H57/12</f>
        <v>1666.6666666666667</v>
      </c>
      <c r="G56" s="94">
        <f>'PE-PARTIDA'!$H57/12</f>
        <v>1666.6666666666667</v>
      </c>
      <c r="H56" s="94">
        <f>'PE-PARTIDA'!$H57/12</f>
        <v>1666.6666666666667</v>
      </c>
      <c r="I56" s="94">
        <f>'PE-PARTIDA'!$H57/12</f>
        <v>1666.6666666666667</v>
      </c>
      <c r="J56" s="94">
        <f>'PE-PARTIDA'!$H57/12</f>
        <v>1666.6666666666667</v>
      </c>
      <c r="K56" s="94">
        <f>'PE-PARTIDA'!$H57/12</f>
        <v>1666.6666666666667</v>
      </c>
      <c r="L56" s="94">
        <f>'PE-PARTIDA'!$H57/12</f>
        <v>1666.6666666666667</v>
      </c>
      <c r="M56" s="94">
        <f>'PE-PARTIDA'!$H57/12</f>
        <v>1666.6666666666667</v>
      </c>
      <c r="N56" s="94">
        <f>'PE-PARTIDA'!$H57/12</f>
        <v>1666.6666666666667</v>
      </c>
      <c r="O56" s="94">
        <f>'PE-PARTIDA'!$H57/12</f>
        <v>1666.6666666666667</v>
      </c>
    </row>
    <row r="57" spans="1:15" ht="25.5" x14ac:dyDescent="0.25">
      <c r="A57" s="80">
        <v>2941</v>
      </c>
      <c r="B57" s="81" t="s">
        <v>33</v>
      </c>
      <c r="C57" s="97">
        <f t="shared" si="0"/>
        <v>10000</v>
      </c>
      <c r="D57" s="94"/>
      <c r="E57" s="94">
        <v>5000</v>
      </c>
      <c r="F57" s="94"/>
      <c r="G57" s="94"/>
      <c r="H57" s="94">
        <v>5000</v>
      </c>
      <c r="I57" s="94"/>
      <c r="J57" s="94"/>
      <c r="K57" s="94"/>
      <c r="L57" s="94"/>
      <c r="M57" s="94"/>
      <c r="N57" s="94"/>
      <c r="O57" s="94"/>
    </row>
    <row r="58" spans="1:15" ht="25.5" x14ac:dyDescent="0.25">
      <c r="A58" s="80">
        <v>2951</v>
      </c>
      <c r="B58" s="81" t="s">
        <v>34</v>
      </c>
      <c r="C58" s="97">
        <f t="shared" si="0"/>
        <v>20000</v>
      </c>
      <c r="D58" s="94">
        <f>'PE-PARTIDA'!$H59/12</f>
        <v>1666.6666666666667</v>
      </c>
      <c r="E58" s="94">
        <f>'PE-PARTIDA'!$H59/12</f>
        <v>1666.6666666666667</v>
      </c>
      <c r="F58" s="94">
        <f>'PE-PARTIDA'!$H59/12</f>
        <v>1666.6666666666667</v>
      </c>
      <c r="G58" s="94">
        <f>'PE-PARTIDA'!$H59/12</f>
        <v>1666.6666666666667</v>
      </c>
      <c r="H58" s="94">
        <f>'PE-PARTIDA'!$H59/12</f>
        <v>1666.6666666666667</v>
      </c>
      <c r="I58" s="94">
        <f>'PE-PARTIDA'!$H59/12</f>
        <v>1666.6666666666667</v>
      </c>
      <c r="J58" s="94">
        <f>'PE-PARTIDA'!$H59/12</f>
        <v>1666.6666666666667</v>
      </c>
      <c r="K58" s="94">
        <f>'PE-PARTIDA'!$H59/12</f>
        <v>1666.6666666666667</v>
      </c>
      <c r="L58" s="94">
        <f>'PE-PARTIDA'!$H59/12</f>
        <v>1666.6666666666667</v>
      </c>
      <c r="M58" s="94">
        <f>'PE-PARTIDA'!$H59/12</f>
        <v>1666.6666666666667</v>
      </c>
      <c r="N58" s="94">
        <f>'PE-PARTIDA'!$H59/12</f>
        <v>1666.6666666666667</v>
      </c>
      <c r="O58" s="94">
        <f>'PE-PARTIDA'!$H59/12</f>
        <v>1666.6666666666667</v>
      </c>
    </row>
    <row r="59" spans="1:15" x14ac:dyDescent="0.25">
      <c r="A59" s="80">
        <v>2961</v>
      </c>
      <c r="B59" s="81" t="s">
        <v>35</v>
      </c>
      <c r="C59" s="97">
        <f t="shared" si="0"/>
        <v>40000</v>
      </c>
      <c r="D59" s="94">
        <v>6000</v>
      </c>
      <c r="E59" s="94">
        <v>6000</v>
      </c>
      <c r="F59" s="94">
        <v>6000</v>
      </c>
      <c r="G59" s="94">
        <v>6000</v>
      </c>
      <c r="H59" s="94">
        <v>6000</v>
      </c>
      <c r="I59" s="94">
        <v>6000</v>
      </c>
      <c r="J59" s="94">
        <v>4000</v>
      </c>
      <c r="K59" s="94"/>
      <c r="L59" s="94"/>
      <c r="M59" s="94"/>
      <c r="N59" s="94"/>
      <c r="O59" s="94"/>
    </row>
    <row r="60" spans="1:15" x14ac:dyDescent="0.25">
      <c r="A60" s="80">
        <v>2981</v>
      </c>
      <c r="B60" s="81" t="s">
        <v>36</v>
      </c>
      <c r="C60" s="97">
        <f t="shared" si="0"/>
        <v>24000</v>
      </c>
      <c r="D60" s="94">
        <f>'PE-PARTIDA'!$H61/12</f>
        <v>2000</v>
      </c>
      <c r="E60" s="94">
        <f>'PE-PARTIDA'!$H61/12</f>
        <v>2000</v>
      </c>
      <c r="F60" s="94">
        <f>'PE-PARTIDA'!$H61/12</f>
        <v>2000</v>
      </c>
      <c r="G60" s="94">
        <f>'PE-PARTIDA'!$H61/12</f>
        <v>2000</v>
      </c>
      <c r="H60" s="94">
        <f>'PE-PARTIDA'!$H61/12</f>
        <v>2000</v>
      </c>
      <c r="I60" s="94">
        <f>'PE-PARTIDA'!$H61/12</f>
        <v>2000</v>
      </c>
      <c r="J60" s="94">
        <f>'PE-PARTIDA'!$H61/12</f>
        <v>2000</v>
      </c>
      <c r="K60" s="94">
        <f>'PE-PARTIDA'!$H61/12</f>
        <v>2000</v>
      </c>
      <c r="L60" s="94">
        <f>'PE-PARTIDA'!$H61/12</f>
        <v>2000</v>
      </c>
      <c r="M60" s="94">
        <f>'PE-PARTIDA'!$H61/12</f>
        <v>2000</v>
      </c>
      <c r="N60" s="94">
        <f>'PE-PARTIDA'!$H61/12</f>
        <v>2000</v>
      </c>
      <c r="O60" s="94">
        <f>'PE-PARTIDA'!$H61/12</f>
        <v>2000</v>
      </c>
    </row>
    <row r="61" spans="1:15" x14ac:dyDescent="0.25">
      <c r="A61" s="80">
        <v>2991</v>
      </c>
      <c r="B61" s="79" t="s">
        <v>157</v>
      </c>
      <c r="C61" s="97">
        <f t="shared" si="0"/>
        <v>4000.0000000000005</v>
      </c>
      <c r="D61" s="94">
        <f>'PE-PARTIDA'!$H62/12</f>
        <v>333.33333333333331</v>
      </c>
      <c r="E61" s="94">
        <f>'PE-PARTIDA'!$H62/12</f>
        <v>333.33333333333331</v>
      </c>
      <c r="F61" s="94">
        <f>'PE-PARTIDA'!$H62/12</f>
        <v>333.33333333333331</v>
      </c>
      <c r="G61" s="94">
        <f>'PE-PARTIDA'!$H62/12</f>
        <v>333.33333333333331</v>
      </c>
      <c r="H61" s="94">
        <f>'PE-PARTIDA'!$H62/12</f>
        <v>333.33333333333331</v>
      </c>
      <c r="I61" s="94">
        <f>'PE-PARTIDA'!$H62/12</f>
        <v>333.33333333333331</v>
      </c>
      <c r="J61" s="94">
        <f>'PE-PARTIDA'!$H62/12</f>
        <v>333.33333333333331</v>
      </c>
      <c r="K61" s="94">
        <f>'PE-PARTIDA'!$H62/12</f>
        <v>333.33333333333331</v>
      </c>
      <c r="L61" s="94">
        <f>'PE-PARTIDA'!$H62/12</f>
        <v>333.33333333333331</v>
      </c>
      <c r="M61" s="94">
        <f>'PE-PARTIDA'!$H62/12</f>
        <v>333.33333333333331</v>
      </c>
      <c r="N61" s="94">
        <f>'PE-PARTIDA'!$H62/12</f>
        <v>333.33333333333331</v>
      </c>
      <c r="O61" s="94">
        <f>'PE-PARTIDA'!$H62/12</f>
        <v>333.33333333333331</v>
      </c>
    </row>
    <row r="62" spans="1:15" s="36" customFormat="1" ht="27" customHeight="1" x14ac:dyDescent="0.25">
      <c r="A62" s="33"/>
      <c r="B62" s="147" t="s">
        <v>175</v>
      </c>
      <c r="C62" s="98">
        <f>SUM(C22:C61)</f>
        <v>2053500</v>
      </c>
      <c r="D62" s="98">
        <f t="shared" ref="D62:O62" si="2">SUM(D22:D61)</f>
        <v>239083.33333333331</v>
      </c>
      <c r="E62" s="98">
        <f t="shared" si="2"/>
        <v>150083.33333333331</v>
      </c>
      <c r="F62" s="98">
        <f t="shared" si="2"/>
        <v>340583.33333333337</v>
      </c>
      <c r="G62" s="98">
        <f t="shared" si="2"/>
        <v>147583.33333333331</v>
      </c>
      <c r="H62" s="98">
        <f t="shared" si="2"/>
        <v>187583.33333333334</v>
      </c>
      <c r="I62" s="98">
        <f t="shared" si="2"/>
        <v>132583.33333333334</v>
      </c>
      <c r="J62" s="98">
        <f t="shared" si="2"/>
        <v>138583.33333333334</v>
      </c>
      <c r="K62" s="98">
        <f t="shared" si="2"/>
        <v>172083.33333333334</v>
      </c>
      <c r="L62" s="98">
        <f t="shared" si="2"/>
        <v>129583.33333333333</v>
      </c>
      <c r="M62" s="98">
        <f t="shared" si="2"/>
        <v>156583.33333333334</v>
      </c>
      <c r="N62" s="98">
        <f t="shared" si="2"/>
        <v>129583.33333333333</v>
      </c>
      <c r="O62" s="98">
        <f t="shared" si="2"/>
        <v>129583.33333333333</v>
      </c>
    </row>
    <row r="63" spans="1:15" s="6" customFormat="1" x14ac:dyDescent="0.25">
      <c r="A63" s="80">
        <v>3111</v>
      </c>
      <c r="B63" s="81" t="s">
        <v>38</v>
      </c>
      <c r="C63" s="97">
        <f t="shared" si="0"/>
        <v>350000.00000000006</v>
      </c>
      <c r="D63" s="93">
        <f>'PE-PARTIDA'!$H$65/12</f>
        <v>29166.666666666668</v>
      </c>
      <c r="E63" s="93">
        <f>'PE-PARTIDA'!$H$65/12</f>
        <v>29166.666666666668</v>
      </c>
      <c r="F63" s="93">
        <f>'PE-PARTIDA'!$H$65/12</f>
        <v>29166.666666666668</v>
      </c>
      <c r="G63" s="93">
        <f>'PE-PARTIDA'!$H$65/12</f>
        <v>29166.666666666668</v>
      </c>
      <c r="H63" s="93">
        <f>'PE-PARTIDA'!$H$65/12</f>
        <v>29166.666666666668</v>
      </c>
      <c r="I63" s="93">
        <f>'PE-PARTIDA'!$H$65/12</f>
        <v>29166.666666666668</v>
      </c>
      <c r="J63" s="93">
        <f>'PE-PARTIDA'!$H$65/12</f>
        <v>29166.666666666668</v>
      </c>
      <c r="K63" s="93">
        <f>'PE-PARTIDA'!$H$65/12</f>
        <v>29166.666666666668</v>
      </c>
      <c r="L63" s="93">
        <f>'PE-PARTIDA'!$H$65/12</f>
        <v>29166.666666666668</v>
      </c>
      <c r="M63" s="93">
        <f>'PE-PARTIDA'!$H$65/12</f>
        <v>29166.666666666668</v>
      </c>
      <c r="N63" s="93">
        <f>'PE-PARTIDA'!$H$65/12</f>
        <v>29166.666666666668</v>
      </c>
      <c r="O63" s="93">
        <f>'PE-PARTIDA'!$H$65/12</f>
        <v>29166.666666666668</v>
      </c>
    </row>
    <row r="64" spans="1:15" x14ac:dyDescent="0.25">
      <c r="A64" s="80">
        <v>3121</v>
      </c>
      <c r="B64" s="81" t="s">
        <v>158</v>
      </c>
      <c r="C64" s="97">
        <f t="shared" si="0"/>
        <v>19792</v>
      </c>
      <c r="D64" s="93"/>
      <c r="E64" s="93"/>
      <c r="F64" s="93">
        <v>17000</v>
      </c>
      <c r="G64" s="93"/>
      <c r="H64" s="93"/>
      <c r="I64" s="93">
        <v>1000</v>
      </c>
      <c r="J64" s="93"/>
      <c r="K64" s="93"/>
      <c r="L64" s="93"/>
      <c r="M64" s="93">
        <v>1792</v>
      </c>
      <c r="N64" s="93"/>
      <c r="O64" s="93"/>
    </row>
    <row r="65" spans="1:15" s="5" customFormat="1" x14ac:dyDescent="0.25">
      <c r="A65" s="80">
        <v>3141</v>
      </c>
      <c r="B65" s="81" t="s">
        <v>39</v>
      </c>
      <c r="C65" s="97">
        <f t="shared" si="0"/>
        <v>0</v>
      </c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</row>
    <row r="66" spans="1:15" ht="25.5" x14ac:dyDescent="0.25">
      <c r="A66" s="80">
        <v>3171</v>
      </c>
      <c r="B66" s="81" t="s">
        <v>40</v>
      </c>
      <c r="C66" s="97">
        <f t="shared" si="0"/>
        <v>320000</v>
      </c>
      <c r="D66" s="93">
        <f>'PE-PARTIDA'!$H$68/12</f>
        <v>26666.666666666668</v>
      </c>
      <c r="E66" s="93">
        <f>'PE-PARTIDA'!$H$68/12</f>
        <v>26666.666666666668</v>
      </c>
      <c r="F66" s="93">
        <f>'PE-PARTIDA'!$H$68/12</f>
        <v>26666.666666666668</v>
      </c>
      <c r="G66" s="93">
        <f>'PE-PARTIDA'!$H$68/12</f>
        <v>26666.666666666668</v>
      </c>
      <c r="H66" s="93">
        <f>'PE-PARTIDA'!$H$68/12</f>
        <v>26666.666666666668</v>
      </c>
      <c r="I66" s="93">
        <f>'PE-PARTIDA'!$H$68/12</f>
        <v>26666.666666666668</v>
      </c>
      <c r="J66" s="93">
        <f>'PE-PARTIDA'!$H$68/12</f>
        <v>26666.666666666668</v>
      </c>
      <c r="K66" s="93">
        <f>'PE-PARTIDA'!$H$68/12</f>
        <v>26666.666666666668</v>
      </c>
      <c r="L66" s="93">
        <f>'PE-PARTIDA'!$H$68/12</f>
        <v>26666.666666666668</v>
      </c>
      <c r="M66" s="93">
        <f>'PE-PARTIDA'!$H$68/12</f>
        <v>26666.666666666668</v>
      </c>
      <c r="N66" s="93">
        <f>'PE-PARTIDA'!$H$68/12</f>
        <v>26666.666666666668</v>
      </c>
      <c r="O66" s="93">
        <f>'PE-PARTIDA'!$H$68/12</f>
        <v>26666.666666666668</v>
      </c>
    </row>
    <row r="67" spans="1:15" x14ac:dyDescent="0.25">
      <c r="A67" s="80">
        <v>3181</v>
      </c>
      <c r="B67" s="81" t="s">
        <v>41</v>
      </c>
      <c r="C67" s="97">
        <f t="shared" si="0"/>
        <v>4712</v>
      </c>
      <c r="D67" s="93"/>
      <c r="E67" s="93"/>
      <c r="F67" s="93">
        <v>2000</v>
      </c>
      <c r="G67" s="93"/>
      <c r="H67" s="93"/>
      <c r="I67" s="93">
        <v>1000</v>
      </c>
      <c r="J67" s="93"/>
      <c r="K67" s="93"/>
      <c r="L67" s="93">
        <v>1000</v>
      </c>
      <c r="M67" s="93"/>
      <c r="N67" s="93">
        <v>712</v>
      </c>
      <c r="O67" s="93"/>
    </row>
    <row r="68" spans="1:15" x14ac:dyDescent="0.25">
      <c r="A68" s="80">
        <v>3221</v>
      </c>
      <c r="B68" s="81" t="s">
        <v>159</v>
      </c>
      <c r="C68" s="97">
        <f t="shared" si="0"/>
        <v>24000</v>
      </c>
      <c r="D68" s="93">
        <f>'PE-PARTIDA'!$H$70/12</f>
        <v>2000</v>
      </c>
      <c r="E68" s="93">
        <f>'PE-PARTIDA'!$H$70/12</f>
        <v>2000</v>
      </c>
      <c r="F68" s="93">
        <f>'PE-PARTIDA'!$H$70/12</f>
        <v>2000</v>
      </c>
      <c r="G68" s="93">
        <f>'PE-PARTIDA'!$H$70/12</f>
        <v>2000</v>
      </c>
      <c r="H68" s="93">
        <f>'PE-PARTIDA'!$H$70/12</f>
        <v>2000</v>
      </c>
      <c r="I68" s="93">
        <f>'PE-PARTIDA'!$H$70/12</f>
        <v>2000</v>
      </c>
      <c r="J68" s="93">
        <f>'PE-PARTIDA'!$H$70/12</f>
        <v>2000</v>
      </c>
      <c r="K68" s="93">
        <f>'PE-PARTIDA'!$H$70/12</f>
        <v>2000</v>
      </c>
      <c r="L68" s="93">
        <f>'PE-PARTIDA'!$H$70/12</f>
        <v>2000</v>
      </c>
      <c r="M68" s="93">
        <f>'PE-PARTIDA'!$H$70/12</f>
        <v>2000</v>
      </c>
      <c r="N68" s="93">
        <f>'PE-PARTIDA'!$H$70/12</f>
        <v>2000</v>
      </c>
      <c r="O68" s="93">
        <f>'PE-PARTIDA'!$H$70/12</f>
        <v>2000</v>
      </c>
    </row>
    <row r="69" spans="1:15" x14ac:dyDescent="0.25">
      <c r="A69" s="80">
        <v>3261</v>
      </c>
      <c r="B69" s="81" t="s">
        <v>42</v>
      </c>
      <c r="C69" s="97">
        <f t="shared" si="0"/>
        <v>75000</v>
      </c>
      <c r="D69" s="93"/>
      <c r="E69" s="93">
        <v>6000</v>
      </c>
      <c r="F69" s="93">
        <v>57000</v>
      </c>
      <c r="G69" s="93"/>
      <c r="H69" s="93"/>
      <c r="I69" s="93">
        <v>6000</v>
      </c>
      <c r="J69" s="93"/>
      <c r="K69" s="93"/>
      <c r="L69" s="93"/>
      <c r="M69" s="93">
        <v>6000</v>
      </c>
      <c r="N69" s="93"/>
      <c r="O69" s="93"/>
    </row>
    <row r="70" spans="1:15" x14ac:dyDescent="0.25">
      <c r="A70" s="80">
        <v>3291</v>
      </c>
      <c r="B70" s="81" t="s">
        <v>160</v>
      </c>
      <c r="C70" s="97">
        <f t="shared" si="0"/>
        <v>80000</v>
      </c>
      <c r="D70" s="93"/>
      <c r="E70" s="93"/>
      <c r="F70" s="93"/>
      <c r="G70" s="93">
        <v>40000</v>
      </c>
      <c r="H70" s="93"/>
      <c r="I70" s="93"/>
      <c r="J70" s="93"/>
      <c r="K70" s="93">
        <v>20000</v>
      </c>
      <c r="L70" s="93">
        <v>20000</v>
      </c>
      <c r="M70" s="93"/>
      <c r="N70" s="93"/>
      <c r="O70" s="93"/>
    </row>
    <row r="71" spans="1:15" x14ac:dyDescent="0.25">
      <c r="A71" s="80">
        <v>3311</v>
      </c>
      <c r="B71" s="81" t="s">
        <v>43</v>
      </c>
      <c r="C71" s="97">
        <f t="shared" si="0"/>
        <v>239467.00000000003</v>
      </c>
      <c r="D71" s="93">
        <f>'PE-PARTIDA'!$H$73/12</f>
        <v>19955.583333333332</v>
      </c>
      <c r="E71" s="93">
        <f>'PE-PARTIDA'!$H$73/12</f>
        <v>19955.583333333332</v>
      </c>
      <c r="F71" s="93">
        <f>'PE-PARTIDA'!$H$73/12</f>
        <v>19955.583333333332</v>
      </c>
      <c r="G71" s="93">
        <f>'PE-PARTIDA'!$H$73/12</f>
        <v>19955.583333333332</v>
      </c>
      <c r="H71" s="93">
        <f>'PE-PARTIDA'!$H$73/12</f>
        <v>19955.583333333332</v>
      </c>
      <c r="I71" s="93">
        <f>'PE-PARTIDA'!$H$73/12</f>
        <v>19955.583333333332</v>
      </c>
      <c r="J71" s="93">
        <f>'PE-PARTIDA'!$H$73/12</f>
        <v>19955.583333333332</v>
      </c>
      <c r="K71" s="93">
        <f>'PE-PARTIDA'!$H$73/12</f>
        <v>19955.583333333332</v>
      </c>
      <c r="L71" s="93">
        <f>'PE-PARTIDA'!$H$73/12</f>
        <v>19955.583333333332</v>
      </c>
      <c r="M71" s="93">
        <f>'PE-PARTIDA'!$H$73/12</f>
        <v>19955.583333333332</v>
      </c>
      <c r="N71" s="93">
        <f>'PE-PARTIDA'!$H$73/12</f>
        <v>19955.583333333332</v>
      </c>
      <c r="O71" s="93">
        <f>'PE-PARTIDA'!$H$73/12</f>
        <v>19955.583333333332</v>
      </c>
    </row>
    <row r="72" spans="1:15" x14ac:dyDescent="0.25">
      <c r="A72" s="80">
        <v>3321</v>
      </c>
      <c r="B72" s="81" t="s">
        <v>161</v>
      </c>
      <c r="C72" s="97">
        <f t="shared" si="0"/>
        <v>14665</v>
      </c>
      <c r="D72" s="93"/>
      <c r="E72" s="93"/>
      <c r="F72" s="93">
        <v>14665</v>
      </c>
      <c r="G72" s="93"/>
      <c r="H72" s="93"/>
      <c r="I72" s="93"/>
      <c r="J72" s="93"/>
      <c r="K72" s="93"/>
      <c r="L72" s="93"/>
      <c r="M72" s="93"/>
      <c r="N72" s="93"/>
      <c r="O72" s="93"/>
    </row>
    <row r="73" spans="1:15" x14ac:dyDescent="0.25">
      <c r="A73" s="80">
        <v>3331</v>
      </c>
      <c r="B73" s="81" t="s">
        <v>162</v>
      </c>
      <c r="C73" s="97">
        <f t="shared" ref="C73:C125" si="3">SUM(D73:O73)</f>
        <v>417732.99999999994</v>
      </c>
      <c r="D73" s="93">
        <f>'PE-PARTIDA'!$H$75/12</f>
        <v>34811.083333333336</v>
      </c>
      <c r="E73" s="93">
        <f>'PE-PARTIDA'!$H$75/12</f>
        <v>34811.083333333336</v>
      </c>
      <c r="F73" s="93">
        <f>'PE-PARTIDA'!$H$75/12</f>
        <v>34811.083333333336</v>
      </c>
      <c r="G73" s="93">
        <f>'PE-PARTIDA'!$H$75/12</f>
        <v>34811.083333333336</v>
      </c>
      <c r="H73" s="93">
        <f>'PE-PARTIDA'!$H$75/12</f>
        <v>34811.083333333336</v>
      </c>
      <c r="I73" s="93">
        <f>'PE-PARTIDA'!$H$75/12</f>
        <v>34811.083333333336</v>
      </c>
      <c r="J73" s="93">
        <f>'PE-PARTIDA'!$H$75/12</f>
        <v>34811.083333333336</v>
      </c>
      <c r="K73" s="93">
        <f>'PE-PARTIDA'!$H$75/12</f>
        <v>34811.083333333336</v>
      </c>
      <c r="L73" s="93">
        <f>'PE-PARTIDA'!$H$75/12</f>
        <v>34811.083333333336</v>
      </c>
      <c r="M73" s="93">
        <f>'PE-PARTIDA'!$H$75/12</f>
        <v>34811.083333333336</v>
      </c>
      <c r="N73" s="93">
        <f>'PE-PARTIDA'!$H$75/12</f>
        <v>34811.083333333336</v>
      </c>
      <c r="O73" s="93">
        <f>'PE-PARTIDA'!$H$75/12</f>
        <v>34811.083333333336</v>
      </c>
    </row>
    <row r="74" spans="1:15" x14ac:dyDescent="0.25">
      <c r="A74" s="80">
        <v>3341</v>
      </c>
      <c r="B74" s="81" t="s">
        <v>44</v>
      </c>
      <c r="C74" s="97">
        <f t="shared" si="3"/>
        <v>20000</v>
      </c>
      <c r="D74" s="93"/>
      <c r="E74" s="93"/>
      <c r="F74" s="93"/>
      <c r="G74" s="93"/>
      <c r="H74" s="93"/>
      <c r="I74" s="93">
        <v>20000</v>
      </c>
      <c r="J74" s="93"/>
      <c r="K74" s="93"/>
      <c r="L74" s="93"/>
      <c r="M74" s="93"/>
      <c r="N74" s="93"/>
      <c r="O74" s="93"/>
    </row>
    <row r="75" spans="1:15" x14ac:dyDescent="0.25">
      <c r="A75" s="80">
        <v>3342</v>
      </c>
      <c r="B75" s="81" t="s">
        <v>45</v>
      </c>
      <c r="C75" s="97">
        <f t="shared" si="3"/>
        <v>250000</v>
      </c>
      <c r="D75" s="93">
        <v>50000</v>
      </c>
      <c r="E75" s="93"/>
      <c r="F75" s="93"/>
      <c r="G75" s="93"/>
      <c r="H75" s="93"/>
      <c r="I75" s="93">
        <v>150000</v>
      </c>
      <c r="J75" s="93"/>
      <c r="K75" s="93"/>
      <c r="L75" s="93"/>
      <c r="M75" s="93"/>
      <c r="N75" s="93"/>
      <c r="O75" s="93">
        <v>50000</v>
      </c>
    </row>
    <row r="76" spans="1:15" x14ac:dyDescent="0.25">
      <c r="A76" s="80">
        <v>3361</v>
      </c>
      <c r="B76" s="81" t="s">
        <v>46</v>
      </c>
      <c r="C76" s="97">
        <f t="shared" si="3"/>
        <v>5000</v>
      </c>
      <c r="D76" s="93">
        <f>'PE-PARTIDA'!$H$78/12</f>
        <v>416.66666666666669</v>
      </c>
      <c r="E76" s="93">
        <f>'PE-PARTIDA'!$H$78/12</f>
        <v>416.66666666666669</v>
      </c>
      <c r="F76" s="93">
        <f>'PE-PARTIDA'!$H$78/12</f>
        <v>416.66666666666669</v>
      </c>
      <c r="G76" s="93">
        <f>'PE-PARTIDA'!$H$78/12</f>
        <v>416.66666666666669</v>
      </c>
      <c r="H76" s="93">
        <f>'PE-PARTIDA'!$H$78/12</f>
        <v>416.66666666666669</v>
      </c>
      <c r="I76" s="93">
        <f>'PE-PARTIDA'!$H$78/12</f>
        <v>416.66666666666669</v>
      </c>
      <c r="J76" s="93">
        <f>'PE-PARTIDA'!$H$78/12</f>
        <v>416.66666666666669</v>
      </c>
      <c r="K76" s="93">
        <f>'PE-PARTIDA'!$H$78/12</f>
        <v>416.66666666666669</v>
      </c>
      <c r="L76" s="93">
        <f>'PE-PARTIDA'!$H$78/12</f>
        <v>416.66666666666669</v>
      </c>
      <c r="M76" s="93">
        <f>'PE-PARTIDA'!$H$78/12</f>
        <v>416.66666666666669</v>
      </c>
      <c r="N76" s="93">
        <f>'PE-PARTIDA'!$H$78/12</f>
        <v>416.66666666666669</v>
      </c>
      <c r="O76" s="93">
        <f>'PE-PARTIDA'!$H$78/12</f>
        <v>416.66666666666669</v>
      </c>
    </row>
    <row r="77" spans="1:15" x14ac:dyDescent="0.25">
      <c r="A77" s="80">
        <v>3362</v>
      </c>
      <c r="B77" s="81" t="s">
        <v>47</v>
      </c>
      <c r="C77" s="97">
        <f t="shared" si="3"/>
        <v>50000</v>
      </c>
      <c r="D77" s="93"/>
      <c r="E77" s="93"/>
      <c r="F77" s="93"/>
      <c r="G77" s="93">
        <v>25000</v>
      </c>
      <c r="H77" s="93"/>
      <c r="I77" s="93"/>
      <c r="J77" s="93"/>
      <c r="K77" s="93">
        <v>25000</v>
      </c>
      <c r="L77" s="93"/>
      <c r="M77" s="93"/>
      <c r="N77" s="93"/>
      <c r="O77" s="93"/>
    </row>
    <row r="78" spans="1:15" ht="25.5" x14ac:dyDescent="0.25">
      <c r="A78" s="80">
        <v>3363</v>
      </c>
      <c r="B78" s="81" t="s">
        <v>134</v>
      </c>
      <c r="C78" s="97">
        <f t="shared" si="3"/>
        <v>13618</v>
      </c>
      <c r="D78" s="93"/>
      <c r="E78" s="93">
        <v>13618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</row>
    <row r="79" spans="1:15" ht="25.5" x14ac:dyDescent="0.25">
      <c r="A79" s="80">
        <v>3365</v>
      </c>
      <c r="B79" s="81" t="s">
        <v>135</v>
      </c>
      <c r="C79" s="97">
        <f t="shared" si="3"/>
        <v>0</v>
      </c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</row>
    <row r="80" spans="1:15" x14ac:dyDescent="0.25">
      <c r="A80" s="80">
        <v>3366</v>
      </c>
      <c r="B80" s="81" t="s">
        <v>163</v>
      </c>
      <c r="C80" s="97">
        <f t="shared" si="3"/>
        <v>30000</v>
      </c>
      <c r="D80" s="93"/>
      <c r="E80" s="93"/>
      <c r="F80" s="93"/>
      <c r="G80" s="93">
        <v>15000</v>
      </c>
      <c r="H80" s="93"/>
      <c r="I80" s="93"/>
      <c r="J80" s="93"/>
      <c r="K80" s="93"/>
      <c r="L80" s="93"/>
      <c r="M80" s="93">
        <v>15000</v>
      </c>
      <c r="N80" s="93"/>
      <c r="O80" s="93"/>
    </row>
    <row r="81" spans="1:16" x14ac:dyDescent="0.25">
      <c r="A81" s="80">
        <v>3381</v>
      </c>
      <c r="B81" s="81" t="s">
        <v>48</v>
      </c>
      <c r="C81" s="97">
        <f t="shared" si="3"/>
        <v>0</v>
      </c>
      <c r="D81" s="34"/>
      <c r="E81" s="34"/>
      <c r="F81" s="34"/>
      <c r="G81" s="34"/>
      <c r="H81" s="34"/>
      <c r="I81" s="34"/>
      <c r="J81" s="93"/>
      <c r="K81" s="93"/>
      <c r="L81" s="93"/>
      <c r="M81" s="93"/>
      <c r="N81" s="93"/>
      <c r="O81" s="93"/>
    </row>
    <row r="82" spans="1:16" x14ac:dyDescent="0.25">
      <c r="A82" s="80">
        <v>3391</v>
      </c>
      <c r="B82" s="81" t="s">
        <v>49</v>
      </c>
      <c r="C82" s="97">
        <f>SUM(D82:O82)</f>
        <v>412999.99999999994</v>
      </c>
      <c r="D82" s="93">
        <f>'PE-PARTIDA'!$H$84/6</f>
        <v>68833.333333333328</v>
      </c>
      <c r="E82" s="93">
        <f>'PE-PARTIDA'!$H$84/6</f>
        <v>68833.333333333328</v>
      </c>
      <c r="F82" s="93">
        <f>'PE-PARTIDA'!$H$84/6</f>
        <v>68833.333333333328</v>
      </c>
      <c r="G82" s="93">
        <f>'PE-PARTIDA'!$H$84/6</f>
        <v>68833.333333333328</v>
      </c>
      <c r="H82" s="93">
        <f>'PE-PARTIDA'!$H$84/6</f>
        <v>68833.333333333328</v>
      </c>
      <c r="I82" s="93">
        <f>'PE-PARTIDA'!$H$84/6</f>
        <v>68833.333333333328</v>
      </c>
      <c r="J82" s="93"/>
      <c r="K82" s="93"/>
      <c r="L82" s="93"/>
      <c r="M82" s="93"/>
      <c r="N82" s="93"/>
      <c r="O82" s="93"/>
    </row>
    <row r="83" spans="1:16" x14ac:dyDescent="0.25">
      <c r="A83" s="80">
        <v>3411</v>
      </c>
      <c r="B83" s="81" t="s">
        <v>50</v>
      </c>
      <c r="C83" s="97">
        <f t="shared" si="3"/>
        <v>33999.999999999993</v>
      </c>
      <c r="D83" s="93">
        <f>'PE-PARTIDA'!$H$85/12</f>
        <v>2833.3333333333335</v>
      </c>
      <c r="E83" s="93">
        <f>'PE-PARTIDA'!$H$85/12</f>
        <v>2833.3333333333335</v>
      </c>
      <c r="F83" s="93">
        <f>'PE-PARTIDA'!$H$85/12</f>
        <v>2833.3333333333335</v>
      </c>
      <c r="G83" s="93">
        <f>'PE-PARTIDA'!$H$85/12</f>
        <v>2833.3333333333335</v>
      </c>
      <c r="H83" s="93">
        <f>'PE-PARTIDA'!$H$85/12</f>
        <v>2833.3333333333335</v>
      </c>
      <c r="I83" s="93">
        <f>'PE-PARTIDA'!$H$85/12</f>
        <v>2833.3333333333335</v>
      </c>
      <c r="J83" s="93">
        <f>'PE-PARTIDA'!$H$85/12</f>
        <v>2833.3333333333335</v>
      </c>
      <c r="K83" s="93">
        <f>'PE-PARTIDA'!$H$85/12</f>
        <v>2833.3333333333335</v>
      </c>
      <c r="L83" s="93">
        <f>'PE-PARTIDA'!$H$85/12</f>
        <v>2833.3333333333335</v>
      </c>
      <c r="M83" s="93">
        <f>'PE-PARTIDA'!$H$85/12</f>
        <v>2833.3333333333335</v>
      </c>
      <c r="N83" s="93">
        <f>'PE-PARTIDA'!$H$85/12</f>
        <v>2833.3333333333335</v>
      </c>
      <c r="O83" s="93">
        <f>'PE-PARTIDA'!$H$85/12</f>
        <v>2833.3333333333335</v>
      </c>
    </row>
    <row r="84" spans="1:16" x14ac:dyDescent="0.25">
      <c r="A84" s="80">
        <v>3451</v>
      </c>
      <c r="B84" s="81" t="s">
        <v>51</v>
      </c>
      <c r="C84" s="97">
        <f t="shared" si="3"/>
        <v>275000</v>
      </c>
      <c r="D84" s="93">
        <v>200000</v>
      </c>
      <c r="E84" s="93"/>
      <c r="F84" s="93"/>
      <c r="G84" s="93"/>
      <c r="H84" s="93"/>
      <c r="I84" s="93"/>
      <c r="J84" s="93"/>
      <c r="K84" s="93"/>
      <c r="L84" s="93">
        <v>75000</v>
      </c>
      <c r="M84" s="93"/>
      <c r="N84" s="93"/>
      <c r="O84" s="93"/>
    </row>
    <row r="85" spans="1:16" x14ac:dyDescent="0.25">
      <c r="A85" s="80">
        <v>3471</v>
      </c>
      <c r="B85" s="81" t="s">
        <v>52</v>
      </c>
      <c r="C85" s="97">
        <f t="shared" si="3"/>
        <v>20000</v>
      </c>
      <c r="D85" s="93"/>
      <c r="E85" s="93">
        <v>10000</v>
      </c>
      <c r="F85" s="93"/>
      <c r="G85" s="93"/>
      <c r="H85" s="93"/>
      <c r="I85" s="93"/>
      <c r="J85" s="93"/>
      <c r="K85" s="93"/>
      <c r="L85" s="93">
        <v>10000</v>
      </c>
      <c r="M85" s="93"/>
      <c r="N85" s="93"/>
      <c r="O85" s="93"/>
    </row>
    <row r="86" spans="1:16" x14ac:dyDescent="0.25">
      <c r="A86" s="80">
        <v>3511</v>
      </c>
      <c r="B86" s="81" t="s">
        <v>53</v>
      </c>
      <c r="C86" s="97">
        <f t="shared" si="3"/>
        <v>150000</v>
      </c>
      <c r="D86" s="93">
        <v>100000</v>
      </c>
      <c r="E86" s="93"/>
      <c r="F86" s="93"/>
      <c r="G86" s="93"/>
      <c r="H86" s="93">
        <v>50000</v>
      </c>
      <c r="I86" s="93"/>
      <c r="J86" s="93"/>
      <c r="K86" s="93"/>
      <c r="L86" s="93"/>
      <c r="M86" s="93"/>
      <c r="N86" s="93"/>
      <c r="O86" s="93"/>
    </row>
    <row r="87" spans="1:16" ht="25.5" x14ac:dyDescent="0.25">
      <c r="A87" s="80">
        <v>3521</v>
      </c>
      <c r="B87" s="81" t="s">
        <v>54</v>
      </c>
      <c r="C87" s="97">
        <f t="shared" si="3"/>
        <v>0</v>
      </c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</row>
    <row r="88" spans="1:16" ht="25.5" x14ac:dyDescent="0.25">
      <c r="A88" s="80">
        <v>3531</v>
      </c>
      <c r="B88" s="81" t="s">
        <v>55</v>
      </c>
      <c r="C88" s="97">
        <f t="shared" si="3"/>
        <v>20000</v>
      </c>
      <c r="D88" s="93"/>
      <c r="E88" s="93">
        <v>5000</v>
      </c>
      <c r="F88" s="93"/>
      <c r="G88" s="93">
        <v>5000</v>
      </c>
      <c r="H88" s="93"/>
      <c r="I88" s="93">
        <v>5000</v>
      </c>
      <c r="J88" s="93"/>
      <c r="K88" s="93"/>
      <c r="L88" s="93">
        <v>5000</v>
      </c>
      <c r="M88" s="93"/>
      <c r="N88" s="93"/>
      <c r="O88" s="93"/>
    </row>
    <row r="89" spans="1:16" ht="25.5" x14ac:dyDescent="0.25">
      <c r="A89" s="80">
        <v>3541</v>
      </c>
      <c r="B89" s="81" t="s">
        <v>164</v>
      </c>
      <c r="C89" s="97">
        <f t="shared" si="3"/>
        <v>130000</v>
      </c>
      <c r="D89" s="93"/>
      <c r="E89" s="93">
        <v>130000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</row>
    <row r="90" spans="1:16" x14ac:dyDescent="0.25">
      <c r="A90" s="80">
        <v>3551</v>
      </c>
      <c r="B90" s="81" t="s">
        <v>56</v>
      </c>
      <c r="C90" s="97">
        <f t="shared" si="3"/>
        <v>40000</v>
      </c>
      <c r="D90" s="93"/>
      <c r="E90" s="93"/>
      <c r="F90" s="93"/>
      <c r="G90" s="93">
        <v>30000</v>
      </c>
      <c r="H90" s="93"/>
      <c r="I90" s="93"/>
      <c r="J90" s="93"/>
      <c r="K90" s="93">
        <v>10000</v>
      </c>
      <c r="L90" s="93"/>
      <c r="M90" s="93"/>
      <c r="N90" s="93"/>
      <c r="O90" s="93"/>
    </row>
    <row r="91" spans="1:16" s="6" customFormat="1" ht="25.5" x14ac:dyDescent="0.25">
      <c r="A91" s="80">
        <v>3571</v>
      </c>
      <c r="B91" s="81" t="s">
        <v>165</v>
      </c>
      <c r="C91" s="97">
        <f t="shared" si="3"/>
        <v>40000</v>
      </c>
      <c r="D91" s="93"/>
      <c r="E91" s="93">
        <v>20000</v>
      </c>
      <c r="F91" s="93"/>
      <c r="G91" s="93"/>
      <c r="H91" s="93"/>
      <c r="I91" s="93"/>
      <c r="J91" s="93">
        <v>20000</v>
      </c>
      <c r="K91" s="93"/>
      <c r="L91" s="93"/>
      <c r="M91" s="93"/>
      <c r="N91" s="93"/>
      <c r="O91" s="93"/>
    </row>
    <row r="92" spans="1:16" s="6" customFormat="1" ht="25.5" x14ac:dyDescent="0.25">
      <c r="A92" s="80">
        <v>3572</v>
      </c>
      <c r="B92" s="81" t="s">
        <v>57</v>
      </c>
      <c r="C92" s="97">
        <f t="shared" si="3"/>
        <v>16000</v>
      </c>
      <c r="D92" s="93"/>
      <c r="E92" s="93"/>
      <c r="F92" s="93"/>
      <c r="G92" s="93"/>
      <c r="H92" s="93">
        <v>16000</v>
      </c>
      <c r="I92" s="93"/>
      <c r="J92" s="93"/>
      <c r="K92" s="93"/>
      <c r="L92" s="93"/>
      <c r="M92" s="93"/>
      <c r="N92" s="93"/>
      <c r="O92" s="93"/>
    </row>
    <row r="93" spans="1:16" s="6" customFormat="1" x14ac:dyDescent="0.25">
      <c r="A93" s="80">
        <v>3581</v>
      </c>
      <c r="B93" s="81" t="s">
        <v>58</v>
      </c>
      <c r="C93" s="97">
        <f t="shared" si="3"/>
        <v>35000</v>
      </c>
      <c r="D93" s="93"/>
      <c r="E93" s="93">
        <v>10000</v>
      </c>
      <c r="F93" s="93"/>
      <c r="G93" s="93"/>
      <c r="H93" s="93">
        <v>10000</v>
      </c>
      <c r="I93" s="93"/>
      <c r="J93" s="93"/>
      <c r="K93" s="93">
        <v>10000</v>
      </c>
      <c r="L93" s="93"/>
      <c r="M93" s="93"/>
      <c r="N93" s="93">
        <v>5000</v>
      </c>
      <c r="O93" s="93"/>
      <c r="P93" s="36"/>
    </row>
    <row r="94" spans="1:16" s="6" customFormat="1" x14ac:dyDescent="0.25">
      <c r="A94" s="80">
        <v>3591</v>
      </c>
      <c r="B94" s="81" t="s">
        <v>59</v>
      </c>
      <c r="C94" s="97">
        <f t="shared" si="3"/>
        <v>4500</v>
      </c>
      <c r="D94" s="93"/>
      <c r="E94" s="93"/>
      <c r="F94" s="93"/>
      <c r="G94" s="93"/>
      <c r="H94" s="93"/>
      <c r="I94" s="93"/>
      <c r="J94" s="93">
        <v>4500</v>
      </c>
      <c r="K94" s="93"/>
      <c r="L94" s="93"/>
      <c r="M94" s="93"/>
      <c r="N94" s="93"/>
      <c r="O94" s="93"/>
    </row>
    <row r="95" spans="1:16" s="6" customFormat="1" ht="25.5" x14ac:dyDescent="0.25">
      <c r="A95" s="80">
        <v>3621</v>
      </c>
      <c r="B95" s="81" t="s">
        <v>60</v>
      </c>
      <c r="C95" s="97">
        <f t="shared" si="3"/>
        <v>211618.00000000003</v>
      </c>
      <c r="D95" s="93">
        <f>'PE-PARTIDA'!$F$97/12</f>
        <v>17634.833333333332</v>
      </c>
      <c r="E95" s="93">
        <f>'PE-PARTIDA'!$F$97/12</f>
        <v>17634.833333333332</v>
      </c>
      <c r="F95" s="93">
        <f>'PE-PARTIDA'!$F$97/12</f>
        <v>17634.833333333332</v>
      </c>
      <c r="G95" s="93">
        <f>'PE-PARTIDA'!$F$97/12</f>
        <v>17634.833333333332</v>
      </c>
      <c r="H95" s="93">
        <f>'PE-PARTIDA'!$F$97/12</f>
        <v>17634.833333333332</v>
      </c>
      <c r="I95" s="93">
        <f>'PE-PARTIDA'!$F$97/12</f>
        <v>17634.833333333332</v>
      </c>
      <c r="J95" s="93">
        <f>'PE-PARTIDA'!$F$97/12</f>
        <v>17634.833333333332</v>
      </c>
      <c r="K95" s="93">
        <f>'PE-PARTIDA'!$F$97/12</f>
        <v>17634.833333333332</v>
      </c>
      <c r="L95" s="93">
        <f>'PE-PARTIDA'!$F$97/12</f>
        <v>17634.833333333332</v>
      </c>
      <c r="M95" s="93">
        <f>'PE-PARTIDA'!$F$97/12</f>
        <v>17634.833333333332</v>
      </c>
      <c r="N95" s="93">
        <f>'PE-PARTIDA'!$F$97/12</f>
        <v>17634.833333333332</v>
      </c>
      <c r="O95" s="93">
        <f>'PE-PARTIDA'!$F$97/12</f>
        <v>17634.833333333332</v>
      </c>
    </row>
    <row r="96" spans="1:16" s="6" customFormat="1" ht="25.5" x14ac:dyDescent="0.25">
      <c r="A96" s="80">
        <v>3631</v>
      </c>
      <c r="B96" s="81" t="s">
        <v>61</v>
      </c>
      <c r="C96" s="97">
        <f t="shared" si="3"/>
        <v>0</v>
      </c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</row>
    <row r="97" spans="1:15" x14ac:dyDescent="0.25">
      <c r="A97" s="80">
        <v>3711</v>
      </c>
      <c r="B97" s="81" t="s">
        <v>136</v>
      </c>
      <c r="C97" s="97">
        <f t="shared" si="3"/>
        <v>40000</v>
      </c>
      <c r="D97" s="93">
        <v>10000</v>
      </c>
      <c r="E97" s="93"/>
      <c r="F97" s="93">
        <v>10000</v>
      </c>
      <c r="G97" s="93"/>
      <c r="H97" s="93"/>
      <c r="I97" s="93">
        <v>10000</v>
      </c>
      <c r="J97" s="93"/>
      <c r="K97" s="93"/>
      <c r="L97" s="93">
        <v>10000</v>
      </c>
      <c r="M97" s="93"/>
      <c r="N97" s="93"/>
      <c r="O97" s="93"/>
    </row>
    <row r="98" spans="1:15" s="6" customFormat="1" x14ac:dyDescent="0.25">
      <c r="A98" s="80">
        <v>3721</v>
      </c>
      <c r="B98" s="81" t="s">
        <v>137</v>
      </c>
      <c r="C98" s="97">
        <f t="shared" si="3"/>
        <v>30000</v>
      </c>
      <c r="D98" s="93"/>
      <c r="E98" s="93">
        <v>5000</v>
      </c>
      <c r="F98" s="93"/>
      <c r="G98" s="93">
        <v>5000</v>
      </c>
      <c r="H98" s="93"/>
      <c r="I98" s="93">
        <v>5000</v>
      </c>
      <c r="J98" s="93"/>
      <c r="K98" s="93">
        <v>5000</v>
      </c>
      <c r="L98" s="93"/>
      <c r="M98" s="93">
        <v>5000</v>
      </c>
      <c r="N98" s="93"/>
      <c r="O98" s="93">
        <v>5000</v>
      </c>
    </row>
    <row r="99" spans="1:15" x14ac:dyDescent="0.25">
      <c r="A99" s="80">
        <v>3751</v>
      </c>
      <c r="B99" s="81" t="s">
        <v>62</v>
      </c>
      <c r="C99" s="97">
        <f t="shared" si="3"/>
        <v>199999.99999999997</v>
      </c>
      <c r="D99" s="93">
        <f>'PE-PARTIDA'!$H$101/12</f>
        <v>16666.666666666668</v>
      </c>
      <c r="E99" s="93">
        <f>'PE-PARTIDA'!$H$101/12</f>
        <v>16666.666666666668</v>
      </c>
      <c r="F99" s="93">
        <f>'PE-PARTIDA'!$H$101/12</f>
        <v>16666.666666666668</v>
      </c>
      <c r="G99" s="93">
        <f>'PE-PARTIDA'!$H$101/12</f>
        <v>16666.666666666668</v>
      </c>
      <c r="H99" s="93">
        <f>'PE-PARTIDA'!$H$101/12</f>
        <v>16666.666666666668</v>
      </c>
      <c r="I99" s="93">
        <f>'PE-PARTIDA'!$H$101/12</f>
        <v>16666.666666666668</v>
      </c>
      <c r="J99" s="93">
        <f>'PE-PARTIDA'!$H$101/12</f>
        <v>16666.666666666668</v>
      </c>
      <c r="K99" s="93">
        <f>'PE-PARTIDA'!$H$101/12</f>
        <v>16666.666666666668</v>
      </c>
      <c r="L99" s="93">
        <f>'PE-PARTIDA'!$H$101/12</f>
        <v>16666.666666666668</v>
      </c>
      <c r="M99" s="93">
        <f>'PE-PARTIDA'!$H$101/12</f>
        <v>16666.666666666668</v>
      </c>
      <c r="N99" s="93">
        <f>'PE-PARTIDA'!$H$101/12</f>
        <v>16666.666666666668</v>
      </c>
      <c r="O99" s="93">
        <f>'PE-PARTIDA'!$H$101/12</f>
        <v>16666.666666666668</v>
      </c>
    </row>
    <row r="100" spans="1:15" x14ac:dyDescent="0.25">
      <c r="A100" s="80">
        <v>3791</v>
      </c>
      <c r="B100" s="81" t="s">
        <v>166</v>
      </c>
      <c r="C100" s="97">
        <f t="shared" si="3"/>
        <v>70000.000000000015</v>
      </c>
      <c r="D100" s="93">
        <f>'PE-PARTIDA'!$H$102/12</f>
        <v>5833.333333333333</v>
      </c>
      <c r="E100" s="93">
        <f>'PE-PARTIDA'!$H$102/12</f>
        <v>5833.333333333333</v>
      </c>
      <c r="F100" s="93">
        <f>'PE-PARTIDA'!$H$102/12</f>
        <v>5833.333333333333</v>
      </c>
      <c r="G100" s="93">
        <f>'PE-PARTIDA'!$H$102/12</f>
        <v>5833.333333333333</v>
      </c>
      <c r="H100" s="93">
        <f>'PE-PARTIDA'!$H$102/12</f>
        <v>5833.333333333333</v>
      </c>
      <c r="I100" s="93">
        <f>'PE-PARTIDA'!$H$102/12</f>
        <v>5833.333333333333</v>
      </c>
      <c r="J100" s="93">
        <f>'PE-PARTIDA'!$H$102/12</f>
        <v>5833.333333333333</v>
      </c>
      <c r="K100" s="93">
        <f>'PE-PARTIDA'!$H$102/12</f>
        <v>5833.333333333333</v>
      </c>
      <c r="L100" s="93">
        <f>'PE-PARTIDA'!$H$102/12</f>
        <v>5833.333333333333</v>
      </c>
      <c r="M100" s="93">
        <f>'PE-PARTIDA'!$H$102/12</f>
        <v>5833.333333333333</v>
      </c>
      <c r="N100" s="93">
        <f>'PE-PARTIDA'!$H$102/12</f>
        <v>5833.333333333333</v>
      </c>
      <c r="O100" s="93">
        <f>'PE-PARTIDA'!$H$102/12</f>
        <v>5833.333333333333</v>
      </c>
    </row>
    <row r="101" spans="1:15" x14ac:dyDescent="0.25">
      <c r="A101" s="80">
        <v>3811</v>
      </c>
      <c r="B101" s="81" t="s">
        <v>63</v>
      </c>
      <c r="C101" s="97">
        <f t="shared" si="3"/>
        <v>103000</v>
      </c>
      <c r="D101" s="93"/>
      <c r="E101" s="93"/>
      <c r="F101" s="93">
        <v>1500</v>
      </c>
      <c r="G101" s="93">
        <v>50000</v>
      </c>
      <c r="H101" s="93"/>
      <c r="I101" s="93"/>
      <c r="J101" s="93"/>
      <c r="K101" s="93"/>
      <c r="L101" s="93"/>
      <c r="M101" s="93">
        <v>50000</v>
      </c>
      <c r="N101" s="93">
        <v>1500</v>
      </c>
      <c r="O101" s="93"/>
    </row>
    <row r="102" spans="1:15" x14ac:dyDescent="0.25">
      <c r="A102" s="80">
        <v>3821</v>
      </c>
      <c r="B102" s="81" t="s">
        <v>64</v>
      </c>
      <c r="C102" s="97">
        <f t="shared" si="3"/>
        <v>0</v>
      </c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</row>
    <row r="103" spans="1:15" s="5" customFormat="1" x14ac:dyDescent="0.25">
      <c r="A103" s="80">
        <v>3822</v>
      </c>
      <c r="B103" s="81" t="s">
        <v>65</v>
      </c>
      <c r="C103" s="97">
        <f t="shared" si="3"/>
        <v>0</v>
      </c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</row>
    <row r="104" spans="1:15" x14ac:dyDescent="0.25">
      <c r="A104" s="80">
        <v>3831</v>
      </c>
      <c r="B104" s="81" t="s">
        <v>66</v>
      </c>
      <c r="C104" s="97">
        <f t="shared" si="3"/>
        <v>260000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93">
        <v>260000</v>
      </c>
      <c r="N104" s="93"/>
      <c r="O104" s="93"/>
    </row>
    <row r="105" spans="1:15" x14ac:dyDescent="0.25">
      <c r="A105" s="80">
        <v>3921</v>
      </c>
      <c r="B105" s="81" t="s">
        <v>67</v>
      </c>
      <c r="C105" s="97">
        <f t="shared" si="3"/>
        <v>49800</v>
      </c>
      <c r="D105" s="93"/>
      <c r="E105" s="93"/>
      <c r="F105" s="93"/>
      <c r="G105" s="93">
        <v>49800</v>
      </c>
      <c r="H105" s="93"/>
      <c r="I105" s="93"/>
      <c r="J105" s="93"/>
      <c r="K105" s="93"/>
      <c r="L105" s="93"/>
      <c r="M105" s="93"/>
      <c r="N105" s="93"/>
      <c r="O105" s="93"/>
    </row>
    <row r="106" spans="1:15" x14ac:dyDescent="0.25">
      <c r="A106" s="80">
        <v>3941</v>
      </c>
      <c r="B106" s="81" t="s">
        <v>138</v>
      </c>
      <c r="C106" s="97">
        <f t="shared" si="3"/>
        <v>150000</v>
      </c>
      <c r="D106" s="93"/>
      <c r="E106" s="93">
        <v>150000</v>
      </c>
      <c r="F106" s="93"/>
      <c r="G106" s="93"/>
      <c r="H106" s="93"/>
      <c r="I106" s="93"/>
      <c r="J106" s="93"/>
      <c r="K106" s="93"/>
      <c r="L106" s="93"/>
      <c r="M106" s="93"/>
      <c r="N106" s="93"/>
      <c r="O106" s="93"/>
    </row>
    <row r="107" spans="1:15" s="36" customFormat="1" ht="27" customHeight="1" x14ac:dyDescent="0.25">
      <c r="A107" s="33"/>
      <c r="B107" s="147" t="s">
        <v>176</v>
      </c>
      <c r="C107" s="98">
        <f>SUM(C63:C106)</f>
        <v>4205905</v>
      </c>
      <c r="D107" s="98">
        <f t="shared" ref="D107:O107" si="4">SUM(D63:D106)</f>
        <v>584818.16666666674</v>
      </c>
      <c r="E107" s="98">
        <f t="shared" si="4"/>
        <v>574436.16666666674</v>
      </c>
      <c r="F107" s="98">
        <f t="shared" si="4"/>
        <v>326983.16666666663</v>
      </c>
      <c r="G107" s="98">
        <f t="shared" si="4"/>
        <v>444618.16666666663</v>
      </c>
      <c r="H107" s="98">
        <f t="shared" si="4"/>
        <v>300818.16666666669</v>
      </c>
      <c r="I107" s="98">
        <f t="shared" si="4"/>
        <v>422818.16666666663</v>
      </c>
      <c r="J107" s="98">
        <f t="shared" si="4"/>
        <v>180484.83333333334</v>
      </c>
      <c r="K107" s="98">
        <f t="shared" si="4"/>
        <v>225984.83333333334</v>
      </c>
      <c r="L107" s="98">
        <f t="shared" si="4"/>
        <v>276984.83333333331</v>
      </c>
      <c r="M107" s="98">
        <f t="shared" si="4"/>
        <v>493776.83333333337</v>
      </c>
      <c r="N107" s="98">
        <f t="shared" si="4"/>
        <v>163196.83333333334</v>
      </c>
      <c r="O107" s="98">
        <f t="shared" si="4"/>
        <v>210984.83333333334</v>
      </c>
    </row>
    <row r="108" spans="1:15" s="36" customFormat="1" x14ac:dyDescent="0.25">
      <c r="A108" s="31">
        <v>4419</v>
      </c>
      <c r="B108" s="148" t="s">
        <v>108</v>
      </c>
      <c r="C108" s="97">
        <f t="shared" si="3"/>
        <v>0</v>
      </c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</row>
    <row r="109" spans="1:15" x14ac:dyDescent="0.2">
      <c r="A109" s="31">
        <v>4451</v>
      </c>
      <c r="B109" s="149" t="s">
        <v>107</v>
      </c>
      <c r="C109" s="97">
        <f t="shared" si="3"/>
        <v>0</v>
      </c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</row>
    <row r="110" spans="1:15" x14ac:dyDescent="0.2">
      <c r="A110" s="229" t="s">
        <v>112</v>
      </c>
      <c r="B110" s="230"/>
      <c r="C110" s="98">
        <f>SUM(C108:C109)</f>
        <v>0</v>
      </c>
      <c r="D110" s="98">
        <f t="shared" ref="D110:O110" si="5">SUM(D108:D109)</f>
        <v>0</v>
      </c>
      <c r="E110" s="98">
        <f t="shared" si="5"/>
        <v>0</v>
      </c>
      <c r="F110" s="98">
        <f t="shared" si="5"/>
        <v>0</v>
      </c>
      <c r="G110" s="98">
        <f t="shared" si="5"/>
        <v>0</v>
      </c>
      <c r="H110" s="98">
        <f t="shared" si="5"/>
        <v>0</v>
      </c>
      <c r="I110" s="98">
        <f t="shared" si="5"/>
        <v>0</v>
      </c>
      <c r="J110" s="98">
        <f t="shared" si="5"/>
        <v>0</v>
      </c>
      <c r="K110" s="98">
        <f t="shared" si="5"/>
        <v>0</v>
      </c>
      <c r="L110" s="98">
        <f t="shared" si="5"/>
        <v>0</v>
      </c>
      <c r="M110" s="98">
        <f t="shared" si="5"/>
        <v>0</v>
      </c>
      <c r="N110" s="98">
        <f t="shared" si="5"/>
        <v>0</v>
      </c>
      <c r="O110" s="98">
        <f t="shared" si="5"/>
        <v>0</v>
      </c>
    </row>
    <row r="111" spans="1:15" s="6" customFormat="1" x14ac:dyDescent="0.25">
      <c r="A111" s="80">
        <v>5111</v>
      </c>
      <c r="B111" s="81" t="s">
        <v>70</v>
      </c>
      <c r="C111" s="97">
        <f t="shared" si="3"/>
        <v>50000</v>
      </c>
      <c r="D111" s="93"/>
      <c r="E111" s="93"/>
      <c r="F111" s="93">
        <f>'PE-PARTIDA'!H115</f>
        <v>50000</v>
      </c>
      <c r="G111" s="93"/>
      <c r="H111" s="93"/>
      <c r="I111" s="93"/>
      <c r="J111" s="93"/>
      <c r="K111" s="93"/>
      <c r="L111" s="93"/>
      <c r="M111" s="93"/>
      <c r="N111" s="93"/>
      <c r="O111" s="93"/>
    </row>
    <row r="112" spans="1:15" s="6" customFormat="1" x14ac:dyDescent="0.25">
      <c r="A112" s="80">
        <v>5151</v>
      </c>
      <c r="B112" s="81" t="s">
        <v>71</v>
      </c>
      <c r="C112" s="97">
        <f t="shared" si="3"/>
        <v>236860</v>
      </c>
      <c r="D112" s="93"/>
      <c r="E112" s="93"/>
      <c r="F112" s="93">
        <f>'PE-PARTIDA'!H116</f>
        <v>236860</v>
      </c>
      <c r="G112" s="93"/>
      <c r="H112" s="93"/>
      <c r="I112" s="93"/>
      <c r="J112" s="93"/>
      <c r="K112" s="93"/>
      <c r="L112" s="93"/>
      <c r="M112" s="93"/>
      <c r="N112" s="93"/>
      <c r="O112" s="93"/>
    </row>
    <row r="113" spans="1:15" s="6" customFormat="1" x14ac:dyDescent="0.25">
      <c r="A113" s="80">
        <v>5191</v>
      </c>
      <c r="B113" s="81" t="s">
        <v>72</v>
      </c>
      <c r="C113" s="97">
        <f t="shared" si="3"/>
        <v>43000</v>
      </c>
      <c r="D113" s="93"/>
      <c r="E113" s="93"/>
      <c r="F113" s="93">
        <f>'PE-PARTIDA'!H117</f>
        <v>43000</v>
      </c>
      <c r="G113" s="93"/>
      <c r="H113" s="93"/>
      <c r="I113" s="93"/>
      <c r="J113" s="93"/>
      <c r="K113" s="93"/>
      <c r="L113" s="93"/>
      <c r="M113" s="93"/>
      <c r="N113" s="93"/>
      <c r="O113" s="93"/>
    </row>
    <row r="114" spans="1:15" s="6" customFormat="1" x14ac:dyDescent="0.25">
      <c r="A114" s="80">
        <v>5211</v>
      </c>
      <c r="B114" s="81" t="s">
        <v>73</v>
      </c>
      <c r="C114" s="97">
        <f t="shared" si="3"/>
        <v>24000</v>
      </c>
      <c r="D114" s="93"/>
      <c r="E114" s="93"/>
      <c r="F114" s="93">
        <f>'PE-PARTIDA'!H118</f>
        <v>24000</v>
      </c>
      <c r="G114" s="93"/>
      <c r="H114" s="93"/>
      <c r="I114" s="93"/>
      <c r="J114" s="93"/>
      <c r="K114" s="93"/>
      <c r="L114" s="93"/>
      <c r="M114" s="93"/>
      <c r="N114" s="93"/>
      <c r="O114" s="93"/>
    </row>
    <row r="115" spans="1:15" s="6" customFormat="1" x14ac:dyDescent="0.25">
      <c r="A115" s="80">
        <v>5231</v>
      </c>
      <c r="B115" s="81" t="s">
        <v>74</v>
      </c>
      <c r="C115" s="97">
        <f t="shared" si="3"/>
        <v>15000</v>
      </c>
      <c r="D115" s="93"/>
      <c r="E115" s="93"/>
      <c r="F115" s="93">
        <f>'PE-PARTIDA'!H119</f>
        <v>15000</v>
      </c>
      <c r="G115" s="93"/>
      <c r="H115" s="93"/>
      <c r="I115" s="93"/>
      <c r="J115" s="93"/>
      <c r="K115" s="93"/>
      <c r="L115" s="93"/>
      <c r="M115" s="93"/>
      <c r="N115" s="93"/>
      <c r="O115" s="93"/>
    </row>
    <row r="116" spans="1:15" s="6" customFormat="1" x14ac:dyDescent="0.25">
      <c r="A116" s="80">
        <v>5291</v>
      </c>
      <c r="B116" s="81" t="s">
        <v>75</v>
      </c>
      <c r="C116" s="97">
        <f t="shared" si="3"/>
        <v>0</v>
      </c>
      <c r="D116" s="93"/>
      <c r="E116" s="93"/>
      <c r="F116" s="93">
        <f>'PE-PARTIDA'!H120</f>
        <v>0</v>
      </c>
      <c r="G116" s="93"/>
      <c r="H116" s="93"/>
      <c r="I116" s="93"/>
      <c r="J116" s="93"/>
      <c r="K116" s="93"/>
      <c r="L116" s="93"/>
      <c r="M116" s="93"/>
      <c r="N116" s="93"/>
      <c r="O116" s="93"/>
    </row>
    <row r="117" spans="1:15" s="6" customFormat="1" x14ac:dyDescent="0.25">
      <c r="A117" s="80">
        <v>5311</v>
      </c>
      <c r="B117" s="81" t="s">
        <v>171</v>
      </c>
      <c r="C117" s="97">
        <f t="shared" si="3"/>
        <v>110641.69</v>
      </c>
      <c r="D117" s="93"/>
      <c r="E117" s="93"/>
      <c r="F117" s="93">
        <f>'PE-PARTIDA'!H121</f>
        <v>110641.69</v>
      </c>
      <c r="G117" s="93"/>
      <c r="H117" s="93"/>
      <c r="I117" s="93"/>
      <c r="J117" s="93"/>
      <c r="K117" s="93"/>
      <c r="L117" s="93"/>
      <c r="M117" s="93"/>
      <c r="N117" s="93"/>
      <c r="O117" s="93"/>
    </row>
    <row r="118" spans="1:15" s="6" customFormat="1" x14ac:dyDescent="0.25">
      <c r="A118" s="80">
        <v>5411</v>
      </c>
      <c r="B118" s="81" t="s">
        <v>139</v>
      </c>
      <c r="C118" s="97">
        <f t="shared" si="3"/>
        <v>870000</v>
      </c>
      <c r="D118" s="93"/>
      <c r="E118" s="93"/>
      <c r="F118" s="93">
        <f>'PE-PARTIDA'!H122</f>
        <v>870000</v>
      </c>
      <c r="G118" s="93"/>
      <c r="H118" s="93"/>
      <c r="I118" s="93"/>
      <c r="J118" s="93"/>
      <c r="K118" s="93"/>
      <c r="L118" s="93"/>
      <c r="M118" s="93"/>
      <c r="N118" s="93"/>
      <c r="O118" s="93"/>
    </row>
    <row r="119" spans="1:15" s="6" customFormat="1" x14ac:dyDescent="0.25">
      <c r="A119" s="80">
        <v>5491</v>
      </c>
      <c r="B119" s="81" t="s">
        <v>76</v>
      </c>
      <c r="C119" s="97">
        <f t="shared" si="3"/>
        <v>0</v>
      </c>
      <c r="D119" s="93"/>
      <c r="E119" s="93"/>
      <c r="F119" s="93">
        <f>'PE-PARTIDA'!H123</f>
        <v>0</v>
      </c>
      <c r="G119" s="93"/>
      <c r="H119" s="93"/>
      <c r="I119" s="93"/>
      <c r="J119" s="93"/>
      <c r="K119" s="93"/>
      <c r="L119" s="93"/>
      <c r="M119" s="93"/>
      <c r="N119" s="93"/>
      <c r="O119" s="93"/>
    </row>
    <row r="120" spans="1:15" s="6" customFormat="1" x14ac:dyDescent="0.25">
      <c r="A120" s="80">
        <v>5621</v>
      </c>
      <c r="B120" s="81" t="s">
        <v>77</v>
      </c>
      <c r="C120" s="97">
        <f t="shared" si="3"/>
        <v>0</v>
      </c>
      <c r="D120" s="93"/>
      <c r="E120" s="93"/>
      <c r="F120" s="93">
        <f>'PE-PARTIDA'!H124</f>
        <v>0</v>
      </c>
      <c r="G120" s="93"/>
      <c r="H120" s="93"/>
      <c r="I120" s="93"/>
      <c r="J120" s="93"/>
      <c r="K120" s="93"/>
      <c r="L120" s="93"/>
      <c r="M120" s="93"/>
      <c r="N120" s="93"/>
      <c r="O120" s="93"/>
    </row>
    <row r="121" spans="1:15" s="6" customFormat="1" x14ac:dyDescent="0.25">
      <c r="A121" s="80">
        <v>5641</v>
      </c>
      <c r="B121" s="81" t="s">
        <v>78</v>
      </c>
      <c r="C121" s="97">
        <f t="shared" si="3"/>
        <v>0</v>
      </c>
      <c r="D121" s="93"/>
      <c r="E121" s="93"/>
      <c r="F121" s="93">
        <f>'PE-PARTIDA'!H125</f>
        <v>0</v>
      </c>
      <c r="G121" s="93"/>
      <c r="H121" s="93"/>
      <c r="I121" s="93"/>
      <c r="J121" s="93"/>
      <c r="K121" s="93"/>
      <c r="L121" s="93"/>
      <c r="M121" s="93"/>
      <c r="N121" s="93"/>
      <c r="O121" s="93"/>
    </row>
    <row r="122" spans="1:15" s="6" customFormat="1" x14ac:dyDescent="0.25">
      <c r="A122" s="80">
        <v>5651</v>
      </c>
      <c r="B122" s="81" t="s">
        <v>79</v>
      </c>
      <c r="C122" s="97">
        <f t="shared" si="3"/>
        <v>0</v>
      </c>
      <c r="D122" s="93"/>
      <c r="E122" s="93"/>
      <c r="F122" s="93">
        <f>'PE-PARTIDA'!H126</f>
        <v>0</v>
      </c>
      <c r="G122" s="93"/>
      <c r="H122" s="93"/>
      <c r="I122" s="93"/>
      <c r="J122" s="93"/>
      <c r="K122" s="93"/>
      <c r="L122" s="93"/>
      <c r="M122" s="93"/>
      <c r="N122" s="93"/>
      <c r="O122" s="93"/>
    </row>
    <row r="123" spans="1:15" s="6" customFormat="1" x14ac:dyDescent="0.25">
      <c r="A123" s="80">
        <v>5671</v>
      </c>
      <c r="B123" s="81" t="s">
        <v>80</v>
      </c>
      <c r="C123" s="97">
        <f t="shared" si="3"/>
        <v>0</v>
      </c>
      <c r="D123" s="93"/>
      <c r="E123" s="93"/>
      <c r="F123" s="93">
        <f>'PE-PARTIDA'!H127</f>
        <v>0</v>
      </c>
      <c r="G123" s="93"/>
      <c r="H123" s="93"/>
      <c r="I123" s="93"/>
      <c r="J123" s="93"/>
      <c r="K123" s="93"/>
      <c r="L123" s="93"/>
      <c r="M123" s="93"/>
      <c r="N123" s="93"/>
      <c r="O123" s="93"/>
    </row>
    <row r="124" spans="1:15" s="6" customFormat="1" x14ac:dyDescent="0.25">
      <c r="A124" s="80">
        <v>5911</v>
      </c>
      <c r="B124" s="81" t="s">
        <v>81</v>
      </c>
      <c r="C124" s="97">
        <f t="shared" si="3"/>
        <v>0</v>
      </c>
      <c r="D124" s="93"/>
      <c r="E124" s="93"/>
      <c r="F124" s="93">
        <f>'PE-PARTIDA'!H129</f>
        <v>0</v>
      </c>
      <c r="G124" s="93"/>
      <c r="H124" s="93"/>
      <c r="I124" s="93"/>
      <c r="J124" s="93"/>
      <c r="K124" s="93"/>
      <c r="L124" s="93"/>
      <c r="M124" s="93"/>
      <c r="N124" s="93"/>
      <c r="O124" s="93"/>
    </row>
    <row r="125" spans="1:15" x14ac:dyDescent="0.25">
      <c r="A125" s="80">
        <v>5971</v>
      </c>
      <c r="B125" s="81" t="s">
        <v>82</v>
      </c>
      <c r="C125" s="97">
        <f t="shared" si="3"/>
        <v>0</v>
      </c>
      <c r="D125" s="95"/>
      <c r="E125" s="95"/>
      <c r="F125" s="93">
        <f>'PE-PARTIDA'!H130</f>
        <v>0</v>
      </c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5" s="36" customFormat="1" ht="27" customHeight="1" x14ac:dyDescent="0.25">
      <c r="A126" s="33"/>
      <c r="B126" s="147" t="s">
        <v>177</v>
      </c>
      <c r="C126" s="98">
        <f>SUM(C111:C125)</f>
        <v>1349501.69</v>
      </c>
      <c r="D126" s="98">
        <f t="shared" ref="D126:O126" si="6">SUM(D111:D125)</f>
        <v>0</v>
      </c>
      <c r="E126" s="98">
        <f t="shared" si="6"/>
        <v>0</v>
      </c>
      <c r="F126" s="98">
        <f t="shared" si="6"/>
        <v>1349501.69</v>
      </c>
      <c r="G126" s="98">
        <f t="shared" si="6"/>
        <v>0</v>
      </c>
      <c r="H126" s="98">
        <f t="shared" si="6"/>
        <v>0</v>
      </c>
      <c r="I126" s="98">
        <f t="shared" si="6"/>
        <v>0</v>
      </c>
      <c r="J126" s="98">
        <f t="shared" si="6"/>
        <v>0</v>
      </c>
      <c r="K126" s="98">
        <f t="shared" si="6"/>
        <v>0</v>
      </c>
      <c r="L126" s="98">
        <f t="shared" si="6"/>
        <v>0</v>
      </c>
      <c r="M126" s="98">
        <f t="shared" si="6"/>
        <v>0</v>
      </c>
      <c r="N126" s="98">
        <f t="shared" si="6"/>
        <v>0</v>
      </c>
      <c r="O126" s="98">
        <f t="shared" si="6"/>
        <v>0</v>
      </c>
    </row>
    <row r="127" spans="1:15" s="5" customFormat="1" ht="38.25" customHeight="1" x14ac:dyDescent="0.25">
      <c r="A127" s="35"/>
      <c r="B127" s="150" t="s">
        <v>114</v>
      </c>
      <c r="C127" s="96">
        <f>C126+C110+C107+C62+C21</f>
        <v>23985410.689999998</v>
      </c>
      <c r="D127" s="96">
        <f t="shared" ref="D127:O127" si="7">D126+D110+D107+D62+D21</f>
        <v>1977629.2499999998</v>
      </c>
      <c r="E127" s="96">
        <f t="shared" si="7"/>
        <v>1878247.2499999998</v>
      </c>
      <c r="F127" s="96">
        <f t="shared" si="7"/>
        <v>3465267.44</v>
      </c>
      <c r="G127" s="96">
        <f t="shared" si="7"/>
        <v>1745929.2499999998</v>
      </c>
      <c r="H127" s="96">
        <f t="shared" si="7"/>
        <v>1642129.2499999998</v>
      </c>
      <c r="I127" s="96">
        <f t="shared" si="7"/>
        <v>1709129.2499999998</v>
      </c>
      <c r="J127" s="96">
        <f t="shared" si="7"/>
        <v>1472795.9166666665</v>
      </c>
      <c r="K127" s="96">
        <f t="shared" si="7"/>
        <v>1551795.9166666665</v>
      </c>
      <c r="L127" s="96">
        <f t="shared" si="7"/>
        <v>2078331.9166666665</v>
      </c>
      <c r="M127" s="96">
        <f t="shared" si="7"/>
        <v>1804087.9166666665</v>
      </c>
      <c r="N127" s="96">
        <f t="shared" si="7"/>
        <v>1446507.9166666665</v>
      </c>
      <c r="O127" s="96">
        <f t="shared" si="7"/>
        <v>3213559.4166666665</v>
      </c>
    </row>
  </sheetData>
  <mergeCells count="6">
    <mergeCell ref="D5:O5"/>
    <mergeCell ref="A110:B110"/>
    <mergeCell ref="A6:A7"/>
    <mergeCell ref="B6:B7"/>
    <mergeCell ref="C6:C7"/>
    <mergeCell ref="D6:O6"/>
  </mergeCells>
  <printOptions horizontalCentered="1"/>
  <pageMargins left="0.39370078740157483" right="0.39370078740157483" top="0.31496062992125984" bottom="0.39370078740157483" header="0" footer="0"/>
  <pageSetup paperSize="5" scale="58" orientation="landscape" horizontalDpi="4294967295" verticalDpi="4294967295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I46"/>
  <sheetViews>
    <sheetView workbookViewId="0">
      <selection activeCell="F9" sqref="F9"/>
    </sheetView>
  </sheetViews>
  <sheetFormatPr baseColWidth="10" defaultColWidth="11.42578125" defaultRowHeight="15" x14ac:dyDescent="0.25"/>
  <cols>
    <col min="1" max="1" width="17.28515625" style="37" customWidth="1"/>
    <col min="2" max="2" width="13.7109375" style="37" customWidth="1"/>
    <col min="3" max="3" width="60.7109375" style="37" customWidth="1"/>
    <col min="4" max="4" width="20.28515625" style="37" bestFit="1" customWidth="1"/>
    <col min="5" max="5" width="15.140625" style="70" bestFit="1" customWidth="1"/>
    <col min="6" max="9" width="11.42578125" style="37"/>
    <col min="10" max="16384" width="11.42578125" style="1"/>
  </cols>
  <sheetData>
    <row r="1" spans="1:9" ht="18" x14ac:dyDescent="0.25">
      <c r="A1" s="42"/>
      <c r="B1" s="42"/>
      <c r="C1" s="42"/>
      <c r="D1" s="42"/>
    </row>
    <row r="2" spans="1:9" ht="18" x14ac:dyDescent="0.25">
      <c r="A2" s="236" t="s">
        <v>143</v>
      </c>
      <c r="B2" s="236"/>
      <c r="C2" s="236"/>
      <c r="D2" s="236"/>
      <c r="E2" s="101"/>
      <c r="F2" s="42"/>
      <c r="G2" s="42"/>
      <c r="H2" s="42"/>
    </row>
    <row r="3" spans="1:9" ht="18" customHeight="1" x14ac:dyDescent="0.25">
      <c r="A3" s="237" t="s">
        <v>203</v>
      </c>
      <c r="B3" s="237"/>
      <c r="C3" s="237"/>
      <c r="D3" s="237"/>
      <c r="E3" s="102"/>
      <c r="F3" s="43"/>
      <c r="G3" s="43"/>
    </row>
    <row r="4" spans="1:9" ht="15" customHeight="1" x14ac:dyDescent="0.25">
      <c r="A4" s="238" t="s">
        <v>242</v>
      </c>
      <c r="B4" s="238"/>
      <c r="C4" s="238"/>
      <c r="D4" s="238"/>
    </row>
    <row r="5" spans="1:9" ht="15" customHeight="1" x14ac:dyDescent="0.25">
      <c r="A5" s="238" t="s">
        <v>243</v>
      </c>
      <c r="B5" s="238"/>
      <c r="C5" s="238"/>
      <c r="D5" s="238"/>
    </row>
    <row r="6" spans="1:9" ht="15" customHeight="1" x14ac:dyDescent="0.25">
      <c r="A6" s="238" t="s">
        <v>202</v>
      </c>
      <c r="B6" s="238"/>
      <c r="C6" s="238"/>
      <c r="D6" s="238"/>
    </row>
    <row r="7" spans="1:9" s="2" customFormat="1" ht="21.6" customHeight="1" x14ac:dyDescent="0.25">
      <c r="A7" s="258" t="s">
        <v>205</v>
      </c>
      <c r="B7" s="258"/>
      <c r="C7" s="258"/>
      <c r="D7" s="258"/>
      <c r="E7" s="103"/>
      <c r="F7" s="44"/>
      <c r="G7" s="44"/>
      <c r="H7" s="44"/>
      <c r="I7" s="44"/>
    </row>
    <row r="8" spans="1:9" s="55" customFormat="1" ht="15.75" x14ac:dyDescent="0.25">
      <c r="A8" s="53" t="s">
        <v>106</v>
      </c>
      <c r="B8" s="53" t="s">
        <v>105</v>
      </c>
      <c r="C8" s="53" t="s">
        <v>104</v>
      </c>
      <c r="D8" s="53" t="s">
        <v>103</v>
      </c>
      <c r="E8" s="104"/>
      <c r="F8" s="54"/>
      <c r="G8" s="54"/>
      <c r="H8" s="54"/>
      <c r="I8" s="54"/>
    </row>
    <row r="9" spans="1:9" x14ac:dyDescent="0.25">
      <c r="A9" s="239" t="s">
        <v>193</v>
      </c>
      <c r="B9" s="45">
        <v>1</v>
      </c>
      <c r="C9" s="100" t="s">
        <v>178</v>
      </c>
      <c r="D9" s="106">
        <v>650000</v>
      </c>
    </row>
    <row r="10" spans="1:9" x14ac:dyDescent="0.25">
      <c r="A10" s="240"/>
      <c r="B10" s="45">
        <v>2</v>
      </c>
      <c r="C10" s="100" t="s">
        <v>179</v>
      </c>
      <c r="D10" s="106">
        <v>350000</v>
      </c>
    </row>
    <row r="11" spans="1:9" x14ac:dyDescent="0.25">
      <c r="A11" s="240"/>
      <c r="B11" s="45">
        <v>3</v>
      </c>
      <c r="C11" s="100" t="s">
        <v>180</v>
      </c>
      <c r="D11" s="106">
        <v>500000</v>
      </c>
    </row>
    <row r="12" spans="1:9" x14ac:dyDescent="0.25">
      <c r="A12" s="241"/>
      <c r="B12" s="45">
        <v>4</v>
      </c>
      <c r="C12" s="100" t="s">
        <v>181</v>
      </c>
      <c r="D12" s="106">
        <v>552700</v>
      </c>
    </row>
    <row r="13" spans="1:9" s="4" customFormat="1" x14ac:dyDescent="0.25">
      <c r="A13" s="46"/>
      <c r="B13" s="47"/>
      <c r="C13" s="111" t="s">
        <v>130</v>
      </c>
      <c r="D13" s="112">
        <f>SUM(D9:D12)</f>
        <v>2052700</v>
      </c>
      <c r="E13" s="103"/>
      <c r="F13" s="44"/>
      <c r="G13" s="44"/>
      <c r="H13" s="44"/>
      <c r="I13" s="44"/>
    </row>
    <row r="14" spans="1:9" x14ac:dyDescent="0.25">
      <c r="A14" s="239" t="s">
        <v>194</v>
      </c>
      <c r="B14" s="45">
        <v>1</v>
      </c>
      <c r="C14" s="100" t="s">
        <v>182</v>
      </c>
      <c r="D14" s="107">
        <v>181699.84</v>
      </c>
    </row>
    <row r="15" spans="1:9" x14ac:dyDescent="0.25">
      <c r="A15" s="240"/>
      <c r="B15" s="45">
        <v>2</v>
      </c>
      <c r="C15" s="105" t="s">
        <v>183</v>
      </c>
      <c r="D15" s="107">
        <v>50000</v>
      </c>
    </row>
    <row r="16" spans="1:9" x14ac:dyDescent="0.25">
      <c r="A16" s="240"/>
      <c r="B16" s="45">
        <v>3</v>
      </c>
      <c r="C16" s="105" t="s">
        <v>184</v>
      </c>
      <c r="D16" s="107">
        <v>45000</v>
      </c>
    </row>
    <row r="17" spans="1:9" x14ac:dyDescent="0.25">
      <c r="A17" s="241"/>
      <c r="B17" s="45">
        <v>4</v>
      </c>
      <c r="C17" s="105" t="s">
        <v>185</v>
      </c>
      <c r="D17" s="107">
        <v>5000</v>
      </c>
    </row>
    <row r="18" spans="1:9" s="2" customFormat="1" x14ac:dyDescent="0.25">
      <c r="A18" s="46"/>
      <c r="B18" s="47"/>
      <c r="C18" s="111" t="s">
        <v>102</v>
      </c>
      <c r="D18" s="113">
        <f>SUM(D14:D17)</f>
        <v>281699.83999999997</v>
      </c>
      <c r="E18" s="103"/>
      <c r="F18" s="44"/>
      <c r="G18" s="44"/>
      <c r="H18" s="44"/>
      <c r="I18" s="44"/>
    </row>
    <row r="19" spans="1:9" x14ac:dyDescent="0.25">
      <c r="A19" s="239" t="s">
        <v>195</v>
      </c>
      <c r="B19" s="45">
        <v>1</v>
      </c>
      <c r="C19" s="105" t="s">
        <v>186</v>
      </c>
      <c r="D19" s="107">
        <v>300000</v>
      </c>
    </row>
    <row r="20" spans="1:9" x14ac:dyDescent="0.25">
      <c r="A20" s="240"/>
      <c r="B20" s="45">
        <v>2</v>
      </c>
      <c r="C20" s="105" t="s">
        <v>187</v>
      </c>
      <c r="D20" s="107">
        <v>300000</v>
      </c>
    </row>
    <row r="21" spans="1:9" x14ac:dyDescent="0.25">
      <c r="A21" s="240"/>
      <c r="B21" s="45">
        <v>3</v>
      </c>
      <c r="C21" s="105" t="s">
        <v>188</v>
      </c>
      <c r="D21" s="107">
        <f>280920+150000</f>
        <v>430920</v>
      </c>
    </row>
    <row r="22" spans="1:9" ht="29.45" customHeight="1" x14ac:dyDescent="0.25">
      <c r="A22" s="241"/>
      <c r="B22" s="45">
        <v>4</v>
      </c>
      <c r="C22" s="105"/>
      <c r="D22" s="108"/>
    </row>
    <row r="23" spans="1:9" s="2" customFormat="1" x14ac:dyDescent="0.25">
      <c r="A23" s="46"/>
      <c r="B23" s="47"/>
      <c r="C23" s="111" t="s">
        <v>101</v>
      </c>
      <c r="D23" s="113">
        <f>SUM(D19:D22)</f>
        <v>1030920</v>
      </c>
      <c r="E23" s="103"/>
      <c r="F23" s="44"/>
      <c r="G23" s="44"/>
      <c r="H23" s="44"/>
      <c r="I23" s="44"/>
    </row>
    <row r="24" spans="1:9" x14ac:dyDescent="0.25">
      <c r="A24" s="239" t="s">
        <v>196</v>
      </c>
      <c r="B24" s="48">
        <v>1</v>
      </c>
      <c r="C24" s="105" t="s">
        <v>189</v>
      </c>
      <c r="D24" s="109">
        <v>1000000</v>
      </c>
    </row>
    <row r="25" spans="1:9" x14ac:dyDescent="0.25">
      <c r="A25" s="240"/>
      <c r="B25" s="48">
        <v>2</v>
      </c>
      <c r="C25" s="105" t="s">
        <v>190</v>
      </c>
      <c r="D25" s="110">
        <v>1000000</v>
      </c>
    </row>
    <row r="26" spans="1:9" x14ac:dyDescent="0.25">
      <c r="A26" s="240"/>
      <c r="B26" s="48">
        <v>3</v>
      </c>
      <c r="C26" s="105" t="s">
        <v>191</v>
      </c>
      <c r="D26" s="110">
        <v>706184.85</v>
      </c>
    </row>
    <row r="27" spans="1:9" x14ac:dyDescent="0.25">
      <c r="A27" s="241"/>
      <c r="B27" s="48">
        <v>4</v>
      </c>
      <c r="C27" s="105" t="s">
        <v>192</v>
      </c>
      <c r="D27" s="110">
        <v>18000000</v>
      </c>
    </row>
    <row r="28" spans="1:9" s="2" customFormat="1" x14ac:dyDescent="0.25">
      <c r="A28" s="46"/>
      <c r="B28" s="47"/>
      <c r="C28" s="111" t="s">
        <v>100</v>
      </c>
      <c r="D28" s="113">
        <f>SUM(D24:D27)</f>
        <v>20706184.850000001</v>
      </c>
      <c r="E28" s="103"/>
      <c r="F28" s="44"/>
      <c r="G28" s="44"/>
      <c r="H28" s="44"/>
      <c r="I28" s="44"/>
    </row>
    <row r="29" spans="1:9" ht="24" customHeight="1" x14ac:dyDescent="0.25">
      <c r="A29" s="248" t="s">
        <v>0</v>
      </c>
      <c r="B29" s="249"/>
      <c r="C29" s="250"/>
      <c r="D29" s="114">
        <f>D13+D18+D23+D28</f>
        <v>24071504.690000001</v>
      </c>
      <c r="F29" s="39"/>
    </row>
    <row r="30" spans="1:9" x14ac:dyDescent="0.25">
      <c r="A30" s="40"/>
      <c r="B30" s="40"/>
      <c r="C30" s="40"/>
      <c r="D30" s="41"/>
    </row>
    <row r="31" spans="1:9" x14ac:dyDescent="0.25">
      <c r="A31" s="40"/>
      <c r="B31" s="40"/>
      <c r="C31" s="40"/>
      <c r="D31" s="41"/>
    </row>
    <row r="32" spans="1:9" hidden="1" x14ac:dyDescent="0.25">
      <c r="A32" s="251" t="s">
        <v>99</v>
      </c>
      <c r="B32" s="251"/>
      <c r="C32" s="45" t="s">
        <v>96</v>
      </c>
      <c r="D32" s="49"/>
    </row>
    <row r="33" spans="1:4" hidden="1" x14ac:dyDescent="0.25">
      <c r="A33" s="251"/>
      <c r="B33" s="251"/>
      <c r="C33" s="45" t="s">
        <v>95</v>
      </c>
      <c r="D33" s="50"/>
    </row>
    <row r="34" spans="1:4" hidden="1" x14ac:dyDescent="0.25">
      <c r="A34" s="251"/>
      <c r="B34" s="251"/>
      <c r="C34" s="51" t="s">
        <v>94</v>
      </c>
      <c r="D34" s="52"/>
    </row>
    <row r="35" spans="1:4" hidden="1" x14ac:dyDescent="0.25">
      <c r="A35" s="252" t="s">
        <v>98</v>
      </c>
      <c r="B35" s="253"/>
      <c r="C35" s="45" t="s">
        <v>96</v>
      </c>
      <c r="D35" s="50"/>
    </row>
    <row r="36" spans="1:4" hidden="1" x14ac:dyDescent="0.25">
      <c r="A36" s="254"/>
      <c r="B36" s="255"/>
      <c r="C36" s="45" t="s">
        <v>95</v>
      </c>
      <c r="D36" s="50"/>
    </row>
    <row r="37" spans="1:4" hidden="1" x14ac:dyDescent="0.25">
      <c r="A37" s="256"/>
      <c r="B37" s="257"/>
      <c r="C37" s="51" t="s">
        <v>94</v>
      </c>
      <c r="D37" s="52"/>
    </row>
    <row r="38" spans="1:4" hidden="1" x14ac:dyDescent="0.25">
      <c r="A38" s="242" t="s">
        <v>97</v>
      </c>
      <c r="B38" s="243"/>
      <c r="C38" s="45" t="s">
        <v>96</v>
      </c>
      <c r="D38" s="50"/>
    </row>
    <row r="39" spans="1:4" hidden="1" x14ac:dyDescent="0.25">
      <c r="A39" s="244"/>
      <c r="B39" s="245"/>
      <c r="C39" s="45" t="s">
        <v>95</v>
      </c>
      <c r="D39" s="50"/>
    </row>
    <row r="40" spans="1:4" hidden="1" x14ac:dyDescent="0.25">
      <c r="A40" s="246"/>
      <c r="B40" s="247"/>
      <c r="C40" s="51" t="s">
        <v>94</v>
      </c>
      <c r="D40" s="52"/>
    </row>
    <row r="42" spans="1:4" x14ac:dyDescent="0.25">
      <c r="D42" s="38"/>
    </row>
    <row r="43" spans="1:4" x14ac:dyDescent="0.25">
      <c r="D43" s="39"/>
    </row>
    <row r="44" spans="1:4" x14ac:dyDescent="0.25">
      <c r="D44" s="39"/>
    </row>
    <row r="45" spans="1:4" x14ac:dyDescent="0.25">
      <c r="D45" s="38"/>
    </row>
    <row r="46" spans="1:4" x14ac:dyDescent="0.25">
      <c r="D46" s="38"/>
    </row>
  </sheetData>
  <protectedRanges>
    <protectedRange sqref="C9" name="Rango1"/>
    <protectedRange sqref="C10" name="Rango1_1"/>
    <protectedRange sqref="C14:C17" name="Rango1_2"/>
    <protectedRange sqref="C19:C22" name="Rango1_3"/>
  </protectedRanges>
  <mergeCells count="14">
    <mergeCell ref="A2:D2"/>
    <mergeCell ref="A3:D3"/>
    <mergeCell ref="A4:D4"/>
    <mergeCell ref="A19:A22"/>
    <mergeCell ref="A38:B40"/>
    <mergeCell ref="A24:A27"/>
    <mergeCell ref="A29:C29"/>
    <mergeCell ref="A32:B34"/>
    <mergeCell ref="A35:B37"/>
    <mergeCell ref="A9:A12"/>
    <mergeCell ref="A14:A17"/>
    <mergeCell ref="A7:D7"/>
    <mergeCell ref="A6:D6"/>
    <mergeCell ref="A5:D5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5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H145"/>
  <sheetViews>
    <sheetView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E122" sqref="E122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3" width="17.28515625" style="62" customWidth="1"/>
    <col min="4" max="4" width="19.140625" style="62" customWidth="1"/>
    <col min="5" max="5" width="19" style="62" customWidth="1"/>
    <col min="6" max="6" width="16.7109375" style="66" customWidth="1"/>
    <col min="7" max="7" width="14.42578125" style="66" customWidth="1"/>
    <col min="8" max="8" width="19.28515625" style="1" customWidth="1"/>
    <col min="9" max="16384" width="11.42578125" style="1"/>
  </cols>
  <sheetData>
    <row r="1" spans="1:8" ht="18" x14ac:dyDescent="0.25">
      <c r="A1" s="261" t="s">
        <v>143</v>
      </c>
      <c r="B1" s="261"/>
      <c r="C1" s="261"/>
      <c r="D1" s="261"/>
      <c r="E1" s="261"/>
      <c r="F1" s="261"/>
      <c r="G1" s="261"/>
      <c r="H1" s="261"/>
    </row>
    <row r="2" spans="1:8" ht="18" customHeight="1" x14ac:dyDescent="0.25">
      <c r="A2" s="262" t="s">
        <v>168</v>
      </c>
      <c r="B2" s="262"/>
      <c r="C2" s="262"/>
      <c r="D2" s="262"/>
      <c r="E2" s="262"/>
      <c r="F2" s="262"/>
      <c r="G2" s="262"/>
      <c r="H2" s="262"/>
    </row>
    <row r="3" spans="1:8" ht="15" customHeight="1" x14ac:dyDescent="0.25">
      <c r="A3" s="263" t="s">
        <v>92</v>
      </c>
      <c r="B3" s="263"/>
      <c r="C3" s="263"/>
      <c r="D3" s="263"/>
      <c r="E3" s="263"/>
      <c r="F3" s="263"/>
      <c r="G3" s="263"/>
      <c r="H3" s="263"/>
    </row>
    <row r="4" spans="1:8" x14ac:dyDescent="0.25">
      <c r="A4" s="37"/>
      <c r="B4" s="274" t="s">
        <v>202</v>
      </c>
      <c r="C4" s="274"/>
      <c r="D4" s="274"/>
      <c r="E4" s="274"/>
      <c r="F4" s="274"/>
      <c r="G4" s="274" t="s">
        <v>206</v>
      </c>
      <c r="H4" s="274"/>
    </row>
    <row r="5" spans="1:8" s="11" customFormat="1" ht="25.5" customHeight="1" x14ac:dyDescent="0.2">
      <c r="A5" s="264" t="s">
        <v>1</v>
      </c>
      <c r="B5" s="266" t="s">
        <v>89</v>
      </c>
      <c r="C5" s="268" t="s">
        <v>87</v>
      </c>
      <c r="D5" s="268" t="s">
        <v>88</v>
      </c>
      <c r="E5" s="270" t="s">
        <v>85</v>
      </c>
      <c r="F5" s="272" t="s">
        <v>169</v>
      </c>
      <c r="G5" s="272" t="s">
        <v>198</v>
      </c>
      <c r="H5" s="259" t="s">
        <v>0</v>
      </c>
    </row>
    <row r="6" spans="1:8" s="11" customFormat="1" ht="25.5" customHeight="1" x14ac:dyDescent="0.2">
      <c r="A6" s="265"/>
      <c r="B6" s="267"/>
      <c r="C6" s="269"/>
      <c r="D6" s="269"/>
      <c r="E6" s="271"/>
      <c r="F6" s="273"/>
      <c r="G6" s="273"/>
      <c r="H6" s="260"/>
    </row>
    <row r="7" spans="1:8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</row>
    <row r="8" spans="1:8" s="14" customFormat="1" ht="19.5" customHeight="1" x14ac:dyDescent="0.2">
      <c r="A8" s="80">
        <v>1131</v>
      </c>
      <c r="B8" s="81" t="s">
        <v>91</v>
      </c>
      <c r="C8" s="123">
        <f>3906684-151530-2174360-514415+2309784+150000</f>
        <v>3526163</v>
      </c>
      <c r="D8" s="123">
        <f>3906684+2309784-286468</f>
        <v>5930000</v>
      </c>
      <c r="E8" s="123"/>
      <c r="F8" s="124"/>
      <c r="G8" s="124"/>
      <c r="H8" s="125">
        <f t="shared" ref="H8:H20" si="0">SUM(C8:F8)</f>
        <v>9456163</v>
      </c>
    </row>
    <row r="9" spans="1:8" s="14" customFormat="1" ht="13.5" customHeight="1" x14ac:dyDescent="0.2">
      <c r="A9" s="80">
        <v>1311</v>
      </c>
      <c r="B9" s="81" t="s">
        <v>2</v>
      </c>
      <c r="C9" s="123">
        <v>104108</v>
      </c>
      <c r="D9" s="123">
        <f>104108-20000</f>
        <v>84108</v>
      </c>
      <c r="E9" s="123"/>
      <c r="F9" s="124"/>
      <c r="G9" s="124"/>
      <c r="H9" s="125">
        <f t="shared" si="0"/>
        <v>188216</v>
      </c>
    </row>
    <row r="10" spans="1:8" s="14" customFormat="1" ht="15" customHeight="1" x14ac:dyDescent="0.2">
      <c r="A10" s="80">
        <v>1321</v>
      </c>
      <c r="B10" s="81" t="s">
        <v>3</v>
      </c>
      <c r="C10" s="123">
        <f>341950-144957</f>
        <v>196993</v>
      </c>
      <c r="D10" s="123">
        <f>341950+50000</f>
        <v>391950</v>
      </c>
      <c r="E10" s="123"/>
      <c r="F10" s="124"/>
      <c r="G10" s="124"/>
      <c r="H10" s="125">
        <f t="shared" si="0"/>
        <v>588943</v>
      </c>
    </row>
    <row r="11" spans="1:8" s="14" customFormat="1" ht="21" customHeight="1" x14ac:dyDescent="0.2">
      <c r="A11" s="80">
        <v>1322</v>
      </c>
      <c r="B11" s="81" t="s">
        <v>4</v>
      </c>
      <c r="C11" s="123">
        <f>1036072-301994</f>
        <v>734078</v>
      </c>
      <c r="D11" s="123">
        <v>690714</v>
      </c>
      <c r="E11" s="123"/>
      <c r="F11" s="124"/>
      <c r="G11" s="124"/>
      <c r="H11" s="125">
        <f t="shared" si="0"/>
        <v>1424792</v>
      </c>
    </row>
    <row r="12" spans="1:8" s="14" customFormat="1" ht="16.5" customHeight="1" x14ac:dyDescent="0.2">
      <c r="A12" s="80">
        <v>1343</v>
      </c>
      <c r="B12" s="81" t="s">
        <v>5</v>
      </c>
      <c r="C12" s="123">
        <f>119048-74000</f>
        <v>45048</v>
      </c>
      <c r="D12" s="123">
        <v>119048</v>
      </c>
      <c r="E12" s="123">
        <v>23000</v>
      </c>
      <c r="F12" s="124"/>
      <c r="G12" s="124"/>
      <c r="H12" s="125">
        <f t="shared" si="0"/>
        <v>187096</v>
      </c>
    </row>
    <row r="13" spans="1:8" s="14" customFormat="1" ht="12.75" x14ac:dyDescent="0.2">
      <c r="A13" s="80">
        <v>1411</v>
      </c>
      <c r="B13" s="81" t="s">
        <v>146</v>
      </c>
      <c r="C13" s="123">
        <f>-226388+647239-150000</f>
        <v>270851</v>
      </c>
      <c r="D13" s="123">
        <f>647239-150000-50000-20000</f>
        <v>427239</v>
      </c>
      <c r="E13" s="123"/>
      <c r="F13" s="124"/>
      <c r="G13" s="124"/>
      <c r="H13" s="125">
        <f t="shared" si="0"/>
        <v>698090</v>
      </c>
    </row>
    <row r="14" spans="1:8" s="14" customFormat="1" ht="12.75" x14ac:dyDescent="0.2">
      <c r="A14" s="80">
        <v>1421</v>
      </c>
      <c r="B14" s="81" t="s">
        <v>6</v>
      </c>
      <c r="C14" s="123">
        <f>186492-65230</f>
        <v>121262</v>
      </c>
      <c r="D14" s="123">
        <f>186492-20000</f>
        <v>166492</v>
      </c>
      <c r="E14" s="123"/>
      <c r="F14" s="124"/>
      <c r="G14" s="124"/>
      <c r="H14" s="125">
        <f t="shared" si="0"/>
        <v>287754</v>
      </c>
    </row>
    <row r="15" spans="1:8" s="14" customFormat="1" ht="12.75" x14ac:dyDescent="0.2">
      <c r="A15" s="80">
        <v>1431</v>
      </c>
      <c r="B15" s="81" t="s">
        <v>147</v>
      </c>
      <c r="C15" s="123">
        <f>678351-260923</f>
        <v>417428</v>
      </c>
      <c r="D15" s="123">
        <f>678351-2626</f>
        <v>675725</v>
      </c>
      <c r="E15" s="123"/>
      <c r="F15" s="124"/>
      <c r="G15" s="124"/>
      <c r="H15" s="125">
        <f t="shared" si="0"/>
        <v>1093153</v>
      </c>
    </row>
    <row r="16" spans="1:8" s="14" customFormat="1" ht="12.75" x14ac:dyDescent="0.2">
      <c r="A16" s="80">
        <v>1432</v>
      </c>
      <c r="B16" s="81" t="s">
        <v>7</v>
      </c>
      <c r="C16" s="123">
        <f>124328-43487</f>
        <v>80841</v>
      </c>
      <c r="D16" s="123">
        <v>124328</v>
      </c>
      <c r="E16" s="123"/>
      <c r="F16" s="124"/>
      <c r="G16" s="124"/>
      <c r="H16" s="125">
        <f t="shared" si="0"/>
        <v>205169</v>
      </c>
    </row>
    <row r="17" spans="1:8" s="14" customFormat="1" ht="12.75" x14ac:dyDescent="0.2">
      <c r="A17" s="80">
        <v>1543</v>
      </c>
      <c r="B17" s="81" t="s">
        <v>148</v>
      </c>
      <c r="C17" s="123">
        <v>96897</v>
      </c>
      <c r="D17" s="123">
        <f>96897+200000</f>
        <v>296897</v>
      </c>
      <c r="E17" s="123"/>
      <c r="F17" s="124"/>
      <c r="G17" s="124"/>
      <c r="H17" s="125">
        <f t="shared" si="0"/>
        <v>393794</v>
      </c>
    </row>
    <row r="18" spans="1:8" s="14" customFormat="1" ht="12.75" x14ac:dyDescent="0.2">
      <c r="A18" s="80">
        <v>1712</v>
      </c>
      <c r="B18" s="81" t="s">
        <v>8</v>
      </c>
      <c r="C18" s="123">
        <v>457948</v>
      </c>
      <c r="D18" s="123">
        <f>457948-50000</f>
        <v>407948</v>
      </c>
      <c r="E18" s="123"/>
      <c r="F18" s="124"/>
      <c r="G18" s="124"/>
      <c r="H18" s="125">
        <f t="shared" si="0"/>
        <v>865896</v>
      </c>
    </row>
    <row r="19" spans="1:8" s="14" customFormat="1" ht="12.75" x14ac:dyDescent="0.2">
      <c r="A19" s="80">
        <v>1715</v>
      </c>
      <c r="B19" s="81" t="s">
        <v>9</v>
      </c>
      <c r="C19" s="123">
        <v>518036</v>
      </c>
      <c r="D19" s="123"/>
      <c r="E19" s="123"/>
      <c r="F19" s="124"/>
      <c r="G19" s="124"/>
      <c r="H19" s="125">
        <f t="shared" si="0"/>
        <v>518036</v>
      </c>
    </row>
    <row r="20" spans="1:8" s="14" customFormat="1" ht="12.75" x14ac:dyDescent="0.2">
      <c r="A20" s="80">
        <v>1719</v>
      </c>
      <c r="B20" s="81" t="s">
        <v>10</v>
      </c>
      <c r="C20" s="123">
        <f>250000-90598</f>
        <v>159402</v>
      </c>
      <c r="D20" s="123">
        <f>250000+150000-120000</f>
        <v>280000</v>
      </c>
      <c r="E20" s="123">
        <v>30000</v>
      </c>
      <c r="F20" s="124"/>
      <c r="G20" s="124"/>
      <c r="H20" s="125">
        <f t="shared" si="0"/>
        <v>469402</v>
      </c>
    </row>
    <row r="21" spans="1:8" s="14" customFormat="1" ht="12.75" x14ac:dyDescent="0.2">
      <c r="A21" s="126"/>
      <c r="B21" s="127" t="s">
        <v>109</v>
      </c>
      <c r="C21" s="128">
        <f>SUM(C8:C20)</f>
        <v>6729055</v>
      </c>
      <c r="D21" s="128">
        <f>SUM(D8:D20)</f>
        <v>9594449</v>
      </c>
      <c r="E21" s="128">
        <f>SUM(E7:E20)</f>
        <v>53000</v>
      </c>
      <c r="F21" s="129">
        <f>SUM(F7:F20)</f>
        <v>0</v>
      </c>
      <c r="G21" s="129"/>
      <c r="H21" s="130">
        <f>SUM(H7:H20)</f>
        <v>16376504</v>
      </c>
    </row>
    <row r="22" spans="1:8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</row>
    <row r="23" spans="1:8" s="14" customFormat="1" ht="12.75" x14ac:dyDescent="0.2">
      <c r="A23" s="80">
        <v>2111</v>
      </c>
      <c r="B23" s="81" t="s">
        <v>12</v>
      </c>
      <c r="C23" s="123"/>
      <c r="D23" s="123">
        <v>70000</v>
      </c>
      <c r="E23" s="123">
        <v>10000</v>
      </c>
      <c r="F23" s="124"/>
      <c r="G23" s="124"/>
      <c r="H23" s="125">
        <f t="shared" ref="H23:H62" si="1">SUM(C23:F23)</f>
        <v>80000</v>
      </c>
    </row>
    <row r="24" spans="1:8" s="14" customFormat="1" ht="25.5" x14ac:dyDescent="0.2">
      <c r="A24" s="80">
        <v>2141</v>
      </c>
      <c r="B24" s="81" t="s">
        <v>13</v>
      </c>
      <c r="C24" s="123"/>
      <c r="D24" s="123">
        <v>100000</v>
      </c>
      <c r="E24" s="123"/>
      <c r="F24" s="124"/>
      <c r="G24" s="124"/>
      <c r="H24" s="125">
        <f t="shared" si="1"/>
        <v>100000</v>
      </c>
    </row>
    <row r="25" spans="1:8" s="14" customFormat="1" ht="12.75" x14ac:dyDescent="0.2">
      <c r="A25" s="80">
        <v>2151</v>
      </c>
      <c r="B25" s="81" t="s">
        <v>149</v>
      </c>
      <c r="C25" s="123"/>
      <c r="D25" s="123">
        <f>270000-25000</f>
        <v>245000</v>
      </c>
      <c r="E25" s="123"/>
      <c r="F25" s="124"/>
      <c r="G25" s="124"/>
      <c r="H25" s="125">
        <f t="shared" si="1"/>
        <v>245000</v>
      </c>
    </row>
    <row r="26" spans="1:8" s="14" customFormat="1" ht="12.75" x14ac:dyDescent="0.2">
      <c r="A26" s="80">
        <v>2161</v>
      </c>
      <c r="B26" s="81" t="s">
        <v>14</v>
      </c>
      <c r="C26" s="123"/>
      <c r="D26" s="123">
        <v>100000</v>
      </c>
      <c r="E26" s="123">
        <v>10000</v>
      </c>
      <c r="F26" s="124"/>
      <c r="G26" s="124"/>
      <c r="H26" s="125">
        <f t="shared" si="1"/>
        <v>110000</v>
      </c>
    </row>
    <row r="27" spans="1:8" s="14" customFormat="1" ht="12.75" x14ac:dyDescent="0.2">
      <c r="A27" s="80">
        <v>2171</v>
      </c>
      <c r="B27" s="81" t="s">
        <v>131</v>
      </c>
      <c r="C27" s="123"/>
      <c r="D27" s="123">
        <v>1500</v>
      </c>
      <c r="E27" s="123"/>
      <c r="F27" s="124"/>
      <c r="G27" s="124"/>
      <c r="H27" s="125">
        <f t="shared" si="1"/>
        <v>1500</v>
      </c>
    </row>
    <row r="28" spans="1:8" s="14" customFormat="1" ht="38.25" x14ac:dyDescent="0.2">
      <c r="A28" s="80">
        <v>2212</v>
      </c>
      <c r="B28" s="81" t="s">
        <v>132</v>
      </c>
      <c r="C28" s="123"/>
      <c r="D28" s="123">
        <v>100000</v>
      </c>
      <c r="E28" s="123"/>
      <c r="F28" s="124"/>
      <c r="G28" s="124"/>
      <c r="H28" s="125">
        <f t="shared" si="1"/>
        <v>100000</v>
      </c>
    </row>
    <row r="29" spans="1:8" s="14" customFormat="1" ht="12.75" x14ac:dyDescent="0.2">
      <c r="A29" s="80">
        <v>2221</v>
      </c>
      <c r="B29" s="81" t="s">
        <v>150</v>
      </c>
      <c r="C29" s="123"/>
      <c r="D29" s="123">
        <v>6000</v>
      </c>
      <c r="E29" s="123"/>
      <c r="F29" s="124"/>
      <c r="G29" s="124"/>
      <c r="H29" s="125">
        <f t="shared" si="1"/>
        <v>6000</v>
      </c>
    </row>
    <row r="30" spans="1:8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>
        <v>7000</v>
      </c>
      <c r="G30" s="124"/>
      <c r="H30" s="125">
        <f t="shared" si="1"/>
        <v>7000</v>
      </c>
    </row>
    <row r="31" spans="1:8" s="14" customFormat="1" ht="25.5" x14ac:dyDescent="0.2">
      <c r="A31" s="80">
        <v>2311</v>
      </c>
      <c r="B31" s="81" t="s">
        <v>151</v>
      </c>
      <c r="C31" s="123"/>
      <c r="D31" s="123">
        <v>17000</v>
      </c>
      <c r="E31" s="123"/>
      <c r="F31" s="124"/>
      <c r="G31" s="124"/>
      <c r="H31" s="125">
        <f t="shared" si="1"/>
        <v>17000</v>
      </c>
    </row>
    <row r="32" spans="1:8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>
        <v>10000</v>
      </c>
      <c r="G32" s="124"/>
      <c r="H32" s="125">
        <f t="shared" si="1"/>
        <v>10000</v>
      </c>
    </row>
    <row r="33" spans="1:8" s="14" customFormat="1" ht="12.75" x14ac:dyDescent="0.2">
      <c r="A33" s="80">
        <v>2421</v>
      </c>
      <c r="B33" s="81" t="s">
        <v>17</v>
      </c>
      <c r="C33" s="123"/>
      <c r="D33" s="123">
        <v>500</v>
      </c>
      <c r="E33" s="123"/>
      <c r="F33" s="124"/>
      <c r="G33" s="124"/>
      <c r="H33" s="125">
        <f t="shared" si="1"/>
        <v>500</v>
      </c>
    </row>
    <row r="34" spans="1:8" s="14" customFormat="1" ht="12.75" x14ac:dyDescent="0.2">
      <c r="A34" s="80">
        <v>2431</v>
      </c>
      <c r="B34" s="81" t="s">
        <v>152</v>
      </c>
      <c r="C34" s="123"/>
      <c r="D34" s="123">
        <v>15000</v>
      </c>
      <c r="E34" s="123"/>
      <c r="F34" s="124"/>
      <c r="G34" s="124"/>
      <c r="H34" s="125">
        <f t="shared" si="1"/>
        <v>15000</v>
      </c>
    </row>
    <row r="35" spans="1:8" s="14" customFormat="1" ht="12.75" x14ac:dyDescent="0.2">
      <c r="A35" s="80">
        <v>2441</v>
      </c>
      <c r="B35" s="81" t="s">
        <v>18</v>
      </c>
      <c r="C35" s="123"/>
      <c r="D35" s="123"/>
      <c r="E35" s="123">
        <v>5000</v>
      </c>
      <c r="F35" s="124"/>
      <c r="G35" s="124"/>
      <c r="H35" s="125">
        <f t="shared" si="1"/>
        <v>5000</v>
      </c>
    </row>
    <row r="36" spans="1:8" s="14" customFormat="1" ht="12.75" x14ac:dyDescent="0.2">
      <c r="A36" s="80">
        <v>2451</v>
      </c>
      <c r="B36" s="81" t="s">
        <v>19</v>
      </c>
      <c r="C36" s="123"/>
      <c r="D36" s="123">
        <v>7000</v>
      </c>
      <c r="E36" s="123"/>
      <c r="F36" s="124"/>
      <c r="G36" s="124"/>
      <c r="H36" s="125">
        <f t="shared" si="1"/>
        <v>7000</v>
      </c>
    </row>
    <row r="37" spans="1:8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>
        <v>55000</v>
      </c>
      <c r="G37" s="124"/>
      <c r="H37" s="125">
        <f t="shared" si="1"/>
        <v>55000</v>
      </c>
    </row>
    <row r="38" spans="1:8" s="14" customFormat="1" ht="12.75" x14ac:dyDescent="0.2">
      <c r="A38" s="80">
        <v>2471</v>
      </c>
      <c r="B38" s="81" t="s">
        <v>21</v>
      </c>
      <c r="C38" s="123"/>
      <c r="D38" s="123"/>
      <c r="E38" s="123">
        <v>147000</v>
      </c>
      <c r="F38" s="124">
        <v>85000</v>
      </c>
      <c r="G38" s="124"/>
      <c r="H38" s="125">
        <f t="shared" si="1"/>
        <v>232000</v>
      </c>
    </row>
    <row r="39" spans="1:8" s="14" customFormat="1" ht="12.75" x14ac:dyDescent="0.2">
      <c r="A39" s="80">
        <v>2481</v>
      </c>
      <c r="B39" s="81" t="s">
        <v>22</v>
      </c>
      <c r="C39" s="123"/>
      <c r="D39" s="123">
        <v>30000</v>
      </c>
      <c r="E39" s="123"/>
      <c r="F39" s="124"/>
      <c r="G39" s="124"/>
      <c r="H39" s="125">
        <f t="shared" si="1"/>
        <v>30000</v>
      </c>
    </row>
    <row r="40" spans="1:8" s="14" customFormat="1" ht="12.75" x14ac:dyDescent="0.2">
      <c r="A40" s="80">
        <v>2491</v>
      </c>
      <c r="B40" s="81" t="s">
        <v>23</v>
      </c>
      <c r="C40" s="123"/>
      <c r="D40" s="123"/>
      <c r="E40" s="123">
        <f>10000+10000</f>
        <v>20000</v>
      </c>
      <c r="F40" s="124">
        <v>15000</v>
      </c>
      <c r="G40" s="124"/>
      <c r="H40" s="125">
        <f t="shared" si="1"/>
        <v>35000</v>
      </c>
    </row>
    <row r="41" spans="1:8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>
        <v>75000</v>
      </c>
      <c r="G41" s="124"/>
      <c r="H41" s="125">
        <f t="shared" si="1"/>
        <v>75000</v>
      </c>
    </row>
    <row r="42" spans="1:8" s="14" customFormat="1" ht="12.75" x14ac:dyDescent="0.2">
      <c r="A42" s="80">
        <v>2521</v>
      </c>
      <c r="B42" s="81" t="s">
        <v>24</v>
      </c>
      <c r="C42" s="123"/>
      <c r="D42" s="123">
        <v>20000</v>
      </c>
      <c r="E42" s="123">
        <f>45000+20000</f>
        <v>65000</v>
      </c>
      <c r="F42" s="131">
        <v>70000</v>
      </c>
      <c r="G42" s="131"/>
      <c r="H42" s="125">
        <f t="shared" si="1"/>
        <v>155000</v>
      </c>
    </row>
    <row r="43" spans="1:8" s="14" customFormat="1" ht="12.75" x14ac:dyDescent="0.2">
      <c r="A43" s="80">
        <v>2531</v>
      </c>
      <c r="B43" s="81" t="s">
        <v>25</v>
      </c>
      <c r="C43" s="123"/>
      <c r="D43" s="123">
        <v>4000</v>
      </c>
      <c r="E43" s="123">
        <v>2000</v>
      </c>
      <c r="F43" s="131">
        <v>1500</v>
      </c>
      <c r="G43" s="131"/>
      <c r="H43" s="125">
        <f t="shared" si="1"/>
        <v>7500</v>
      </c>
    </row>
    <row r="44" spans="1:8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>
        <v>1500</v>
      </c>
      <c r="G44" s="124"/>
      <c r="H44" s="125">
        <f t="shared" si="1"/>
        <v>1500</v>
      </c>
    </row>
    <row r="45" spans="1:8" s="14" customFormat="1" ht="12.75" x14ac:dyDescent="0.2">
      <c r="A45" s="80">
        <v>2551</v>
      </c>
      <c r="B45" s="81" t="s">
        <v>27</v>
      </c>
      <c r="C45" s="123"/>
      <c r="D45" s="123">
        <v>30000</v>
      </c>
      <c r="E45" s="123">
        <f>15000+2000</f>
        <v>17000</v>
      </c>
      <c r="F45" s="124"/>
      <c r="G45" s="124"/>
      <c r="H45" s="125">
        <f t="shared" si="1"/>
        <v>47000</v>
      </c>
    </row>
    <row r="46" spans="1:8" s="14" customFormat="1" ht="12.75" x14ac:dyDescent="0.2">
      <c r="A46" s="80">
        <v>2561</v>
      </c>
      <c r="B46" s="81" t="s">
        <v>154</v>
      </c>
      <c r="C46" s="123"/>
      <c r="D46" s="123"/>
      <c r="E46" s="123">
        <f>23000+35000</f>
        <v>58000</v>
      </c>
      <c r="F46" s="124">
        <v>56500</v>
      </c>
      <c r="G46" s="124"/>
      <c r="H46" s="125">
        <f t="shared" si="1"/>
        <v>114500</v>
      </c>
    </row>
    <row r="47" spans="1:8" s="14" customFormat="1" ht="12.75" x14ac:dyDescent="0.2">
      <c r="A47" s="80">
        <v>2591</v>
      </c>
      <c r="B47" s="81" t="s">
        <v>155</v>
      </c>
      <c r="C47" s="123"/>
      <c r="D47" s="123">
        <v>20000</v>
      </c>
      <c r="E47" s="123">
        <v>5000</v>
      </c>
      <c r="F47" s="124"/>
      <c r="G47" s="124"/>
      <c r="H47" s="125">
        <f t="shared" si="1"/>
        <v>25000</v>
      </c>
    </row>
    <row r="48" spans="1:8" s="14" customFormat="1" ht="12.75" x14ac:dyDescent="0.2">
      <c r="A48" s="80">
        <v>2611</v>
      </c>
      <c r="B48" s="81" t="s">
        <v>133</v>
      </c>
      <c r="C48" s="123"/>
      <c r="D48" s="123">
        <v>210000</v>
      </c>
      <c r="E48" s="123"/>
      <c r="F48" s="124"/>
      <c r="G48" s="124"/>
      <c r="H48" s="125">
        <f t="shared" si="1"/>
        <v>210000</v>
      </c>
    </row>
    <row r="49" spans="1:8" s="14" customFormat="1" ht="12.75" x14ac:dyDescent="0.2">
      <c r="A49" s="80">
        <v>2614</v>
      </c>
      <c r="B49" s="79" t="s">
        <v>140</v>
      </c>
      <c r="C49" s="123"/>
      <c r="D49" s="123">
        <v>20000</v>
      </c>
      <c r="E49" s="123"/>
      <c r="F49" s="124"/>
      <c r="G49" s="124"/>
      <c r="H49" s="125">
        <f t="shared" si="1"/>
        <v>20000</v>
      </c>
    </row>
    <row r="50" spans="1:8" s="14" customFormat="1" ht="12.75" x14ac:dyDescent="0.2">
      <c r="A50" s="80">
        <v>2711</v>
      </c>
      <c r="B50" s="81" t="s">
        <v>141</v>
      </c>
      <c r="C50" s="123"/>
      <c r="D50" s="123">
        <v>130000</v>
      </c>
      <c r="E50" s="123"/>
      <c r="F50" s="124"/>
      <c r="G50" s="124"/>
      <c r="H50" s="125">
        <f t="shared" si="1"/>
        <v>130000</v>
      </c>
    </row>
    <row r="51" spans="1:8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>
        <v>18000</v>
      </c>
      <c r="G51" s="124"/>
      <c r="H51" s="125">
        <f t="shared" si="1"/>
        <v>18000</v>
      </c>
    </row>
    <row r="52" spans="1:8" s="14" customFormat="1" ht="12.75" x14ac:dyDescent="0.2">
      <c r="A52" s="80">
        <v>2731</v>
      </c>
      <c r="B52" s="81" t="s">
        <v>29</v>
      </c>
      <c r="C52" s="123"/>
      <c r="D52" s="123">
        <v>25000</v>
      </c>
      <c r="E52" s="123"/>
      <c r="F52" s="124"/>
      <c r="G52" s="124"/>
      <c r="H52" s="125">
        <f t="shared" si="1"/>
        <v>25000</v>
      </c>
    </row>
    <row r="53" spans="1:8" s="14" customFormat="1" ht="12.75" x14ac:dyDescent="0.2">
      <c r="A53" s="80">
        <v>2741</v>
      </c>
      <c r="B53" s="81" t="s">
        <v>170</v>
      </c>
      <c r="C53" s="123"/>
      <c r="D53" s="123">
        <v>2000</v>
      </c>
      <c r="E53" s="123"/>
      <c r="F53" s="124"/>
      <c r="G53" s="124"/>
      <c r="H53" s="125">
        <f t="shared" si="1"/>
        <v>2000</v>
      </c>
    </row>
    <row r="54" spans="1:8" s="14" customFormat="1" ht="12.75" x14ac:dyDescent="0.2">
      <c r="A54" s="80">
        <v>2751</v>
      </c>
      <c r="B54" s="81" t="s">
        <v>156</v>
      </c>
      <c r="C54" s="123"/>
      <c r="D54" s="123">
        <v>15000</v>
      </c>
      <c r="E54" s="123"/>
      <c r="F54" s="124"/>
      <c r="G54" s="124"/>
      <c r="H54" s="125">
        <f t="shared" si="1"/>
        <v>15000</v>
      </c>
    </row>
    <row r="55" spans="1:8" s="14" customFormat="1" ht="12.75" x14ac:dyDescent="0.2">
      <c r="A55" s="80">
        <v>2911</v>
      </c>
      <c r="B55" s="81" t="s">
        <v>30</v>
      </c>
      <c r="C55" s="123"/>
      <c r="D55" s="123">
        <v>15000</v>
      </c>
      <c r="E55" s="123">
        <v>10000</v>
      </c>
      <c r="F55" s="124"/>
      <c r="G55" s="124"/>
      <c r="H55" s="125">
        <f t="shared" si="1"/>
        <v>25000</v>
      </c>
    </row>
    <row r="56" spans="1:8" s="14" customFormat="1" ht="12.75" x14ac:dyDescent="0.2">
      <c r="A56" s="80">
        <v>2921</v>
      </c>
      <c r="B56" s="81" t="s">
        <v>31</v>
      </c>
      <c r="C56" s="123"/>
      <c r="D56" s="123">
        <v>4000</v>
      </c>
      <c r="E56" s="123"/>
      <c r="F56" s="124"/>
      <c r="G56" s="124"/>
      <c r="H56" s="125">
        <f t="shared" si="1"/>
        <v>4000</v>
      </c>
    </row>
    <row r="57" spans="1:8" s="14" customFormat="1" ht="25.5" x14ac:dyDescent="0.2">
      <c r="A57" s="80">
        <v>2931</v>
      </c>
      <c r="B57" s="81" t="s">
        <v>32</v>
      </c>
      <c r="C57" s="123"/>
      <c r="D57" s="123">
        <v>20000</v>
      </c>
      <c r="E57" s="123"/>
      <c r="F57" s="124"/>
      <c r="G57" s="124"/>
      <c r="H57" s="125">
        <f t="shared" si="1"/>
        <v>20000</v>
      </c>
    </row>
    <row r="58" spans="1:8" s="14" customFormat="1" ht="25.5" x14ac:dyDescent="0.2">
      <c r="A58" s="80">
        <v>2941</v>
      </c>
      <c r="B58" s="81" t="s">
        <v>33</v>
      </c>
      <c r="C58" s="123"/>
      <c r="D58" s="123">
        <v>10000</v>
      </c>
      <c r="E58" s="123">
        <v>10000</v>
      </c>
      <c r="F58" s="124"/>
      <c r="G58" s="124"/>
      <c r="H58" s="125">
        <f t="shared" si="1"/>
        <v>20000</v>
      </c>
    </row>
    <row r="59" spans="1:8" s="14" customFormat="1" ht="25.5" x14ac:dyDescent="0.2">
      <c r="A59" s="80">
        <v>2951</v>
      </c>
      <c r="B59" s="81" t="s">
        <v>34</v>
      </c>
      <c r="C59" s="123"/>
      <c r="D59" s="123">
        <v>2000</v>
      </c>
      <c r="E59" s="123">
        <f>8000+10000</f>
        <v>18000</v>
      </c>
      <c r="F59" s="124"/>
      <c r="G59" s="124"/>
      <c r="H59" s="125">
        <f t="shared" si="1"/>
        <v>20000</v>
      </c>
    </row>
    <row r="60" spans="1:8" s="14" customFormat="1" ht="12.75" x14ac:dyDescent="0.2">
      <c r="A60" s="80">
        <v>2961</v>
      </c>
      <c r="B60" s="81" t="s">
        <v>35</v>
      </c>
      <c r="C60" s="123"/>
      <c r="D60" s="123">
        <v>40000</v>
      </c>
      <c r="E60" s="123"/>
      <c r="F60" s="124"/>
      <c r="G60" s="124"/>
      <c r="H60" s="125">
        <f t="shared" si="1"/>
        <v>40000</v>
      </c>
    </row>
    <row r="61" spans="1:8" s="14" customFormat="1" ht="12.75" x14ac:dyDescent="0.2">
      <c r="A61" s="80">
        <v>2981</v>
      </c>
      <c r="B61" s="81" t="s">
        <v>36</v>
      </c>
      <c r="C61" s="123"/>
      <c r="D61" s="123"/>
      <c r="E61" s="123">
        <v>24000</v>
      </c>
      <c r="F61" s="124"/>
      <c r="G61" s="124"/>
      <c r="H61" s="125">
        <f t="shared" si="1"/>
        <v>24000</v>
      </c>
    </row>
    <row r="62" spans="1:8" s="14" customFormat="1" ht="12.75" x14ac:dyDescent="0.2">
      <c r="A62" s="80">
        <v>2991</v>
      </c>
      <c r="B62" s="81" t="s">
        <v>157</v>
      </c>
      <c r="C62" s="123"/>
      <c r="D62" s="123">
        <v>4000</v>
      </c>
      <c r="E62" s="123"/>
      <c r="F62" s="124"/>
      <c r="G62" s="124"/>
      <c r="H62" s="125">
        <f t="shared" si="1"/>
        <v>4000</v>
      </c>
    </row>
    <row r="63" spans="1:8" s="14" customFormat="1" ht="12.75" x14ac:dyDescent="0.2">
      <c r="A63" s="22"/>
      <c r="B63" s="20" t="s">
        <v>110</v>
      </c>
      <c r="C63" s="128">
        <f>SUM(C23:C62)</f>
        <v>0</v>
      </c>
      <c r="D63" s="128">
        <f>SUM(D23:D62)</f>
        <v>1263000</v>
      </c>
      <c r="E63" s="128">
        <f>SUM(E23:E62)</f>
        <v>401000</v>
      </c>
      <c r="F63" s="128">
        <f t="shared" ref="F63" si="2">SUM(F23:F62)</f>
        <v>394500</v>
      </c>
      <c r="G63" s="128"/>
      <c r="H63" s="128">
        <f>SUM(C63:F63)</f>
        <v>2058500</v>
      </c>
    </row>
    <row r="64" spans="1:8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</row>
    <row r="65" spans="1:8" s="14" customFormat="1" ht="12.75" x14ac:dyDescent="0.2">
      <c r="A65" s="80">
        <v>3111</v>
      </c>
      <c r="B65" s="81" t="s">
        <v>38</v>
      </c>
      <c r="C65" s="123">
        <v>340000</v>
      </c>
      <c r="D65" s="123"/>
      <c r="E65" s="123">
        <v>10000</v>
      </c>
      <c r="F65" s="124"/>
      <c r="G65" s="124"/>
      <c r="H65" s="125">
        <f t="shared" ref="H65:H108" si="3">SUM(C65:F65)</f>
        <v>350000</v>
      </c>
    </row>
    <row r="66" spans="1:8" s="14" customFormat="1" ht="12.75" x14ac:dyDescent="0.2">
      <c r="A66" s="80">
        <v>3121</v>
      </c>
      <c r="B66" s="81" t="s">
        <v>158</v>
      </c>
      <c r="C66" s="123"/>
      <c r="D66" s="123">
        <f>20000-208</f>
        <v>19792</v>
      </c>
      <c r="E66" s="123"/>
      <c r="F66" s="124"/>
      <c r="G66" s="124"/>
      <c r="H66" s="125">
        <f t="shared" si="3"/>
        <v>19792</v>
      </c>
    </row>
    <row r="67" spans="1:8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</row>
    <row r="68" spans="1:8" s="14" customFormat="1" ht="12.75" x14ac:dyDescent="0.2">
      <c r="A68" s="80">
        <v>3171</v>
      </c>
      <c r="B68" s="81" t="s">
        <v>40</v>
      </c>
      <c r="C68" s="123">
        <v>260000</v>
      </c>
      <c r="D68" s="123"/>
      <c r="E68" s="123">
        <v>50000</v>
      </c>
      <c r="F68" s="131">
        <v>10000</v>
      </c>
      <c r="G68" s="131"/>
      <c r="H68" s="125">
        <f t="shared" si="3"/>
        <v>320000</v>
      </c>
    </row>
    <row r="69" spans="1:8" s="14" customFormat="1" ht="12.75" x14ac:dyDescent="0.2">
      <c r="A69" s="80">
        <v>3181</v>
      </c>
      <c r="B69" s="81" t="s">
        <v>41</v>
      </c>
      <c r="C69" s="123">
        <v>4712</v>
      </c>
      <c r="D69" s="123"/>
      <c r="E69" s="123">
        <v>4000</v>
      </c>
      <c r="F69" s="131"/>
      <c r="G69" s="131"/>
      <c r="H69" s="125">
        <f t="shared" si="3"/>
        <v>8712</v>
      </c>
    </row>
    <row r="70" spans="1:8" s="14" customFormat="1" ht="12.75" x14ac:dyDescent="0.2">
      <c r="A70" s="80">
        <v>3221</v>
      </c>
      <c r="B70" s="81" t="s">
        <v>159</v>
      </c>
      <c r="C70" s="123">
        <v>24000</v>
      </c>
      <c r="D70" s="123"/>
      <c r="E70" s="123"/>
      <c r="F70" s="131"/>
      <c r="G70" s="131"/>
      <c r="H70" s="125">
        <f t="shared" si="3"/>
        <v>24000</v>
      </c>
    </row>
    <row r="71" spans="1:8" s="14" customFormat="1" ht="12.75" x14ac:dyDescent="0.2">
      <c r="A71" s="80">
        <v>3261</v>
      </c>
      <c r="B71" s="81" t="s">
        <v>42</v>
      </c>
      <c r="C71" s="123"/>
      <c r="D71" s="123">
        <v>18000</v>
      </c>
      <c r="E71" s="123">
        <v>10000</v>
      </c>
      <c r="F71" s="131">
        <v>57000</v>
      </c>
      <c r="G71" s="131"/>
      <c r="H71" s="125">
        <f t="shared" si="3"/>
        <v>85000</v>
      </c>
    </row>
    <row r="72" spans="1:8" s="14" customFormat="1" ht="12.75" x14ac:dyDescent="0.2">
      <c r="A72" s="80">
        <v>3291</v>
      </c>
      <c r="B72" s="81" t="s">
        <v>160</v>
      </c>
      <c r="C72" s="123"/>
      <c r="D72" s="123">
        <f>80000-15000</f>
        <v>65000</v>
      </c>
      <c r="E72" s="123"/>
      <c r="F72" s="131"/>
      <c r="G72" s="131"/>
      <c r="H72" s="125">
        <f t="shared" si="3"/>
        <v>65000</v>
      </c>
    </row>
    <row r="73" spans="1:8" s="14" customFormat="1" ht="12.75" x14ac:dyDescent="0.2">
      <c r="A73" s="80">
        <v>3311</v>
      </c>
      <c r="B73" s="81" t="s">
        <v>43</v>
      </c>
      <c r="C73" s="123"/>
      <c r="D73" s="123"/>
      <c r="E73" s="123">
        <f>480000-240533</f>
        <v>239467</v>
      </c>
      <c r="F73" s="131"/>
      <c r="G73" s="131"/>
      <c r="H73" s="125">
        <f t="shared" si="3"/>
        <v>239467</v>
      </c>
    </row>
    <row r="74" spans="1:8" s="14" customFormat="1" ht="12.75" x14ac:dyDescent="0.2">
      <c r="A74" s="80">
        <v>3321</v>
      </c>
      <c r="B74" s="81" t="s">
        <v>161</v>
      </c>
      <c r="C74" s="123"/>
      <c r="D74" s="123">
        <v>14665</v>
      </c>
      <c r="E74" s="123">
        <v>21000</v>
      </c>
      <c r="F74" s="131"/>
      <c r="G74" s="131"/>
      <c r="H74" s="125">
        <f t="shared" si="3"/>
        <v>35665</v>
      </c>
    </row>
    <row r="75" spans="1:8" s="14" customFormat="1" ht="12.75" x14ac:dyDescent="0.2">
      <c r="A75" s="80">
        <v>3331</v>
      </c>
      <c r="B75" s="81" t="s">
        <v>162</v>
      </c>
      <c r="C75" s="123"/>
      <c r="D75" s="123"/>
      <c r="E75" s="123">
        <f>280200-8000-98467</f>
        <v>173733</v>
      </c>
      <c r="F75" s="131">
        <f>236000+8000</f>
        <v>244000</v>
      </c>
      <c r="G75" s="131"/>
      <c r="H75" s="125">
        <f t="shared" si="3"/>
        <v>417733</v>
      </c>
    </row>
    <row r="76" spans="1:8" s="14" customFormat="1" ht="12.75" x14ac:dyDescent="0.2">
      <c r="A76" s="80">
        <v>3341</v>
      </c>
      <c r="B76" s="81" t="s">
        <v>44</v>
      </c>
      <c r="C76" s="123"/>
      <c r="D76" s="123">
        <f>20000-9290</f>
        <v>10710</v>
      </c>
      <c r="E76" s="123"/>
      <c r="F76" s="124"/>
      <c r="G76" s="124"/>
      <c r="H76" s="125">
        <f t="shared" si="3"/>
        <v>10710</v>
      </c>
    </row>
    <row r="77" spans="1:8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>
        <v>250000</v>
      </c>
      <c r="G77" s="124"/>
      <c r="H77" s="125">
        <f t="shared" si="3"/>
        <v>250000</v>
      </c>
    </row>
    <row r="78" spans="1:8" s="14" customFormat="1" ht="12.75" x14ac:dyDescent="0.2">
      <c r="A78" s="80">
        <v>3361</v>
      </c>
      <c r="B78" s="81" t="s">
        <v>46</v>
      </c>
      <c r="C78" s="123"/>
      <c r="D78" s="123">
        <v>0</v>
      </c>
      <c r="E78" s="123">
        <f>78000-73000</f>
        <v>5000</v>
      </c>
      <c r="F78" s="124"/>
      <c r="G78" s="124"/>
      <c r="H78" s="125">
        <f t="shared" si="3"/>
        <v>5000</v>
      </c>
    </row>
    <row r="79" spans="1:8" s="14" customFormat="1" ht="12.75" x14ac:dyDescent="0.2">
      <c r="A79" s="80">
        <v>3362</v>
      </c>
      <c r="B79" s="81" t="s">
        <v>47</v>
      </c>
      <c r="C79" s="123"/>
      <c r="D79" s="123"/>
      <c r="E79" s="123">
        <v>50000</v>
      </c>
      <c r="F79" s="124"/>
      <c r="G79" s="124"/>
      <c r="H79" s="125">
        <f t="shared" si="3"/>
        <v>50000</v>
      </c>
    </row>
    <row r="80" spans="1:8" s="14" customFormat="1" ht="25.5" x14ac:dyDescent="0.2">
      <c r="A80" s="80">
        <v>3363</v>
      </c>
      <c r="B80" s="81" t="s">
        <v>134</v>
      </c>
      <c r="C80" s="123"/>
      <c r="D80" s="123">
        <v>0</v>
      </c>
      <c r="E80" s="123"/>
      <c r="F80" s="124">
        <f>20000-6382</f>
        <v>13618</v>
      </c>
      <c r="G80" s="124"/>
      <c r="H80" s="125">
        <f t="shared" si="3"/>
        <v>13618</v>
      </c>
    </row>
    <row r="81" spans="1:8" s="14" customFormat="1" ht="25.5" x14ac:dyDescent="0.2">
      <c r="A81" s="80">
        <v>3365</v>
      </c>
      <c r="B81" s="81" t="s">
        <v>135</v>
      </c>
      <c r="C81" s="123"/>
      <c r="D81" s="123">
        <v>0</v>
      </c>
      <c r="E81" s="123"/>
      <c r="F81" s="124"/>
      <c r="G81" s="124"/>
      <c r="H81" s="125">
        <f t="shared" si="3"/>
        <v>0</v>
      </c>
    </row>
    <row r="82" spans="1:8" s="14" customFormat="1" ht="12.75" x14ac:dyDescent="0.2">
      <c r="A82" s="80">
        <v>3366</v>
      </c>
      <c r="B82" s="81" t="s">
        <v>163</v>
      </c>
      <c r="C82" s="123"/>
      <c r="D82" s="123">
        <v>30000</v>
      </c>
      <c r="E82" s="123"/>
      <c r="F82" s="124"/>
      <c r="G82" s="124"/>
      <c r="H82" s="125">
        <f t="shared" si="3"/>
        <v>30000</v>
      </c>
    </row>
    <row r="83" spans="1:8" s="14" customFormat="1" ht="12.75" x14ac:dyDescent="0.2">
      <c r="A83" s="80">
        <v>3381</v>
      </c>
      <c r="B83" s="81" t="s">
        <v>48</v>
      </c>
      <c r="C83" s="123"/>
      <c r="D83" s="123">
        <v>0</v>
      </c>
      <c r="E83" s="123"/>
      <c r="F83" s="124"/>
      <c r="G83" s="124"/>
      <c r="H83" s="125">
        <f t="shared" si="3"/>
        <v>0</v>
      </c>
    </row>
    <row r="84" spans="1:8" s="14" customFormat="1" ht="12.75" x14ac:dyDescent="0.2">
      <c r="A84" s="80">
        <v>3391</v>
      </c>
      <c r="B84" s="81" t="s">
        <v>49</v>
      </c>
      <c r="C84" s="123"/>
      <c r="D84" s="123"/>
      <c r="E84" s="123">
        <v>110000</v>
      </c>
      <c r="F84" s="124">
        <v>153000</v>
      </c>
      <c r="G84" s="124">
        <v>150000</v>
      </c>
      <c r="H84" s="125">
        <f>SUM(C84:G84)</f>
        <v>413000</v>
      </c>
    </row>
    <row r="85" spans="1:8" s="14" customFormat="1" ht="12.75" x14ac:dyDescent="0.2">
      <c r="A85" s="80">
        <v>3411</v>
      </c>
      <c r="B85" s="81" t="s">
        <v>50</v>
      </c>
      <c r="C85" s="123"/>
      <c r="D85" s="123">
        <v>18000</v>
      </c>
      <c r="E85" s="123">
        <v>16000</v>
      </c>
      <c r="F85" s="124"/>
      <c r="G85" s="124"/>
      <c r="H85" s="125">
        <f t="shared" si="3"/>
        <v>34000</v>
      </c>
    </row>
    <row r="86" spans="1:8" s="14" customFormat="1" ht="12.75" x14ac:dyDescent="0.2">
      <c r="A86" s="80">
        <v>3451</v>
      </c>
      <c r="B86" s="81" t="s">
        <v>51</v>
      </c>
      <c r="C86" s="123">
        <v>275000</v>
      </c>
      <c r="D86" s="123"/>
      <c r="E86" s="123"/>
      <c r="F86" s="124"/>
      <c r="G86" s="124"/>
      <c r="H86" s="125">
        <f t="shared" si="3"/>
        <v>275000</v>
      </c>
    </row>
    <row r="87" spans="1:8" s="14" customFormat="1" ht="12.75" x14ac:dyDescent="0.2">
      <c r="A87" s="80">
        <v>3471</v>
      </c>
      <c r="B87" s="81" t="s">
        <v>52</v>
      </c>
      <c r="C87" s="123"/>
      <c r="D87" s="123"/>
      <c r="E87" s="123">
        <v>20000</v>
      </c>
      <c r="F87" s="124"/>
      <c r="G87" s="124"/>
      <c r="H87" s="125">
        <f t="shared" si="3"/>
        <v>20000</v>
      </c>
    </row>
    <row r="88" spans="1:8" s="14" customFormat="1" ht="12.75" x14ac:dyDescent="0.2">
      <c r="A88" s="80">
        <v>3511</v>
      </c>
      <c r="B88" s="81" t="s">
        <v>53</v>
      </c>
      <c r="C88" s="123"/>
      <c r="D88" s="123"/>
      <c r="E88" s="123">
        <f>150000-60000</f>
        <v>90000</v>
      </c>
      <c r="F88" s="124"/>
      <c r="G88" s="124"/>
      <c r="H88" s="125">
        <f t="shared" si="3"/>
        <v>90000</v>
      </c>
    </row>
    <row r="89" spans="1:8" s="14" customFormat="1" ht="25.5" x14ac:dyDescent="0.2">
      <c r="A89" s="80">
        <v>3521</v>
      </c>
      <c r="B89" s="81" t="s">
        <v>54</v>
      </c>
      <c r="C89" s="123"/>
      <c r="D89" s="123"/>
      <c r="E89" s="123">
        <v>0</v>
      </c>
      <c r="F89" s="124"/>
      <c r="G89" s="124"/>
      <c r="H89" s="125">
        <f t="shared" si="3"/>
        <v>0</v>
      </c>
    </row>
    <row r="90" spans="1:8" s="14" customFormat="1" ht="25.5" x14ac:dyDescent="0.2">
      <c r="A90" s="80">
        <v>3531</v>
      </c>
      <c r="B90" s="81" t="s">
        <v>55</v>
      </c>
      <c r="C90" s="123"/>
      <c r="D90" s="123"/>
      <c r="E90" s="123">
        <v>20000</v>
      </c>
      <c r="F90" s="124"/>
      <c r="G90" s="124"/>
      <c r="H90" s="125">
        <f t="shared" si="3"/>
        <v>20000</v>
      </c>
    </row>
    <row r="91" spans="1:8" s="14" customFormat="1" ht="25.5" x14ac:dyDescent="0.2">
      <c r="A91" s="80">
        <v>3541</v>
      </c>
      <c r="B91" s="81" t="s">
        <v>164</v>
      </c>
      <c r="C91" s="123"/>
      <c r="D91" s="123"/>
      <c r="E91" s="123">
        <v>130000</v>
      </c>
      <c r="F91" s="131"/>
      <c r="G91" s="131"/>
      <c r="H91" s="125">
        <f t="shared" si="3"/>
        <v>130000</v>
      </c>
    </row>
    <row r="92" spans="1:8" s="14" customFormat="1" ht="12.75" x14ac:dyDescent="0.2">
      <c r="A92" s="80">
        <v>3551</v>
      </c>
      <c r="B92" s="81" t="s">
        <v>56</v>
      </c>
      <c r="C92" s="123"/>
      <c r="D92" s="123"/>
      <c r="E92" s="123">
        <v>15000</v>
      </c>
      <c r="F92" s="124">
        <v>40000</v>
      </c>
      <c r="G92" s="124"/>
      <c r="H92" s="125">
        <f t="shared" si="3"/>
        <v>55000</v>
      </c>
    </row>
    <row r="93" spans="1:8" s="14" customFormat="1" ht="12.75" x14ac:dyDescent="0.2">
      <c r="A93" s="80">
        <v>3571</v>
      </c>
      <c r="B93" s="81" t="s">
        <v>165</v>
      </c>
      <c r="C93" s="123"/>
      <c r="D93" s="123"/>
      <c r="E93" s="123">
        <v>40000</v>
      </c>
      <c r="F93" s="124"/>
      <c r="G93" s="124"/>
      <c r="H93" s="125">
        <f t="shared" si="3"/>
        <v>40000</v>
      </c>
    </row>
    <row r="94" spans="1:8" s="14" customFormat="1" ht="25.5" x14ac:dyDescent="0.2">
      <c r="A94" s="80">
        <v>3572</v>
      </c>
      <c r="B94" s="81" t="s">
        <v>57</v>
      </c>
      <c r="C94" s="123"/>
      <c r="D94" s="123"/>
      <c r="E94" s="123">
        <v>16000</v>
      </c>
      <c r="F94" s="124"/>
      <c r="G94" s="124"/>
      <c r="H94" s="125">
        <f t="shared" si="3"/>
        <v>16000</v>
      </c>
    </row>
    <row r="95" spans="1:8" s="14" customFormat="1" ht="12.75" x14ac:dyDescent="0.2">
      <c r="A95" s="80">
        <v>3581</v>
      </c>
      <c r="B95" s="81" t="s">
        <v>58</v>
      </c>
      <c r="C95" s="123"/>
      <c r="D95" s="123"/>
      <c r="E95" s="123">
        <v>35000</v>
      </c>
      <c r="F95" s="124"/>
      <c r="G95" s="124"/>
      <c r="H95" s="125">
        <f t="shared" si="3"/>
        <v>35000</v>
      </c>
    </row>
    <row r="96" spans="1:8" s="14" customFormat="1" ht="12.75" x14ac:dyDescent="0.2">
      <c r="A96" s="80">
        <v>3591</v>
      </c>
      <c r="B96" s="81" t="s">
        <v>59</v>
      </c>
      <c r="C96" s="123">
        <v>4500</v>
      </c>
      <c r="D96" s="123"/>
      <c r="E96" s="123"/>
      <c r="F96" s="124"/>
      <c r="G96" s="124"/>
      <c r="H96" s="125">
        <f t="shared" si="3"/>
        <v>4500</v>
      </c>
    </row>
    <row r="97" spans="1:8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>
        <f>109618+102000</f>
        <v>211618</v>
      </c>
      <c r="G97" s="131"/>
      <c r="H97" s="125">
        <f t="shared" si="3"/>
        <v>211618</v>
      </c>
    </row>
    <row r="98" spans="1:8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</row>
    <row r="99" spans="1:8" s="14" customFormat="1" ht="12.75" x14ac:dyDescent="0.2">
      <c r="A99" s="80">
        <v>3711</v>
      </c>
      <c r="B99" s="81" t="s">
        <v>136</v>
      </c>
      <c r="C99" s="123"/>
      <c r="D99" s="123"/>
      <c r="E99" s="123">
        <f>40000+22000+15000</f>
        <v>77000</v>
      </c>
      <c r="F99" s="124"/>
      <c r="G99" s="124"/>
      <c r="H99" s="125">
        <f t="shared" si="3"/>
        <v>77000</v>
      </c>
    </row>
    <row r="100" spans="1:8" s="14" customFormat="1" ht="12.75" x14ac:dyDescent="0.2">
      <c r="A100" s="80">
        <v>3721</v>
      </c>
      <c r="B100" s="81" t="s">
        <v>137</v>
      </c>
      <c r="C100" s="123"/>
      <c r="D100" s="123"/>
      <c r="E100" s="123">
        <v>30000</v>
      </c>
      <c r="F100" s="124"/>
      <c r="G100" s="124"/>
      <c r="H100" s="125">
        <f t="shared" si="3"/>
        <v>30000</v>
      </c>
    </row>
    <row r="101" spans="1:8" s="14" customFormat="1" ht="12.75" x14ac:dyDescent="0.2">
      <c r="A101" s="80">
        <v>3751</v>
      </c>
      <c r="B101" s="81" t="s">
        <v>62</v>
      </c>
      <c r="C101" s="123"/>
      <c r="D101" s="123"/>
      <c r="E101" s="123">
        <v>200000</v>
      </c>
      <c r="F101" s="124"/>
      <c r="G101" s="124"/>
      <c r="H101" s="125">
        <f t="shared" si="3"/>
        <v>200000</v>
      </c>
    </row>
    <row r="102" spans="1:8" s="14" customFormat="1" ht="12.75" x14ac:dyDescent="0.2">
      <c r="A102" s="80">
        <v>3791</v>
      </c>
      <c r="B102" s="81" t="s">
        <v>166</v>
      </c>
      <c r="C102" s="123"/>
      <c r="D102" s="123"/>
      <c r="E102" s="123">
        <f>50000+20000</f>
        <v>70000</v>
      </c>
      <c r="F102" s="124"/>
      <c r="G102" s="124"/>
      <c r="H102" s="125">
        <f t="shared" si="3"/>
        <v>70000</v>
      </c>
    </row>
    <row r="103" spans="1:8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</row>
    <row r="104" spans="1:8" s="14" customFormat="1" ht="12.75" x14ac:dyDescent="0.2">
      <c r="A104" s="80">
        <v>3821</v>
      </c>
      <c r="B104" s="81" t="s">
        <v>64</v>
      </c>
      <c r="C104" s="123"/>
      <c r="D104" s="123"/>
      <c r="E104" s="123">
        <v>10000</v>
      </c>
      <c r="F104" s="124"/>
      <c r="G104" s="124"/>
      <c r="H104" s="125">
        <f t="shared" si="3"/>
        <v>10000</v>
      </c>
    </row>
    <row r="105" spans="1:8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>
        <v>103000</v>
      </c>
      <c r="G105" s="124"/>
      <c r="H105" s="125">
        <f t="shared" si="3"/>
        <v>103000</v>
      </c>
    </row>
    <row r="106" spans="1:8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>
        <v>260000</v>
      </c>
      <c r="G106" s="124"/>
      <c r="H106" s="125">
        <f t="shared" si="3"/>
        <v>260000</v>
      </c>
    </row>
    <row r="107" spans="1:8" s="14" customFormat="1" ht="12.75" x14ac:dyDescent="0.2">
      <c r="A107" s="80">
        <v>3921</v>
      </c>
      <c r="B107" s="81" t="s">
        <v>67</v>
      </c>
      <c r="C107" s="123"/>
      <c r="D107" s="123"/>
      <c r="E107" s="123">
        <f>49800+45000</f>
        <v>94800</v>
      </c>
      <c r="F107" s="131"/>
      <c r="G107" s="131"/>
      <c r="H107" s="125">
        <f t="shared" si="3"/>
        <v>94800</v>
      </c>
    </row>
    <row r="108" spans="1:8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>
        <v>150000</v>
      </c>
      <c r="G108" s="124"/>
      <c r="H108" s="125">
        <f t="shared" si="3"/>
        <v>150000</v>
      </c>
    </row>
    <row r="109" spans="1:8" s="14" customFormat="1" ht="12.75" x14ac:dyDescent="0.2">
      <c r="A109" s="22"/>
      <c r="B109" s="20" t="s">
        <v>111</v>
      </c>
      <c r="C109" s="61">
        <f>SUM(C65:C108)</f>
        <v>908212</v>
      </c>
      <c r="D109" s="61">
        <f>SUM(D65:D108)</f>
        <v>176167</v>
      </c>
      <c r="E109" s="61">
        <f>SUM(E65:E108)</f>
        <v>1537000</v>
      </c>
      <c r="F109" s="65">
        <f>SUM(F65:F108)</f>
        <v>1492236</v>
      </c>
      <c r="G109" s="65">
        <f>SUM(G65:G108)</f>
        <v>150000</v>
      </c>
      <c r="H109" s="65">
        <f t="shared" ref="H109" si="4">SUM(H65:H108)</f>
        <v>4263615</v>
      </c>
    </row>
    <row r="110" spans="1:8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</row>
    <row r="111" spans="1:8" s="14" customFormat="1" ht="25.5" x14ac:dyDescent="0.2">
      <c r="A111" s="15">
        <v>4156</v>
      </c>
      <c r="B111" s="16" t="s">
        <v>239</v>
      </c>
      <c r="D111" s="58">
        <v>500000</v>
      </c>
      <c r="E111" s="60"/>
      <c r="F111" s="64"/>
      <c r="G111" s="64"/>
      <c r="H111" s="18">
        <f>SUM(C111:F111)</f>
        <v>500000</v>
      </c>
    </row>
    <row r="112" spans="1:8" s="14" customFormat="1" ht="12.75" x14ac:dyDescent="0.2">
      <c r="A112" s="15">
        <v>4246</v>
      </c>
      <c r="B112" s="16" t="s">
        <v>238</v>
      </c>
      <c r="C112" s="58">
        <v>376517.08</v>
      </c>
      <c r="D112" s="58"/>
      <c r="E112" s="60"/>
      <c r="F112" s="64"/>
      <c r="G112" s="64"/>
      <c r="H112" s="18">
        <f>SUM(C112:F112)</f>
        <v>376517.08</v>
      </c>
    </row>
    <row r="113" spans="1:8" s="14" customFormat="1" ht="12.75" x14ac:dyDescent="0.2">
      <c r="A113" s="22"/>
      <c r="B113" s="20" t="s">
        <v>112</v>
      </c>
      <c r="C113" s="61">
        <f>SUM(C111:C112)</f>
        <v>376517.08</v>
      </c>
      <c r="D113" s="61">
        <f>SUM(D111:D112)</f>
        <v>500000</v>
      </c>
      <c r="E113" s="61">
        <f>SUM(E111)</f>
        <v>0</v>
      </c>
      <c r="F113" s="61">
        <f t="shared" ref="F113" si="5">SUM(F111)</f>
        <v>0</v>
      </c>
      <c r="G113" s="61"/>
      <c r="H113" s="61">
        <f>SUM(H111:H112)</f>
        <v>876517.08000000007</v>
      </c>
    </row>
    <row r="114" spans="1:8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</row>
    <row r="115" spans="1:8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>
        <v>50000</v>
      </c>
      <c r="G115" s="124"/>
      <c r="H115" s="125">
        <f t="shared" ref="H115:H130" si="6">SUM(C115:F115)</f>
        <v>50000</v>
      </c>
    </row>
    <row r="116" spans="1:8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>
        <v>236860</v>
      </c>
      <c r="G116" s="124"/>
      <c r="H116" s="125">
        <f t="shared" si="6"/>
        <v>236860</v>
      </c>
    </row>
    <row r="117" spans="1:8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>
        <v>43000</v>
      </c>
      <c r="G117" s="124"/>
      <c r="H117" s="125">
        <f t="shared" si="6"/>
        <v>43000</v>
      </c>
    </row>
    <row r="118" spans="1:8" s="14" customFormat="1" ht="12.75" x14ac:dyDescent="0.2">
      <c r="A118" s="80">
        <v>5211</v>
      </c>
      <c r="B118" s="81" t="s">
        <v>73</v>
      </c>
      <c r="C118" s="123"/>
      <c r="D118" s="123"/>
      <c r="E118" s="123">
        <v>24000</v>
      </c>
      <c r="F118" s="124"/>
      <c r="G118" s="124"/>
      <c r="H118" s="125">
        <f t="shared" si="6"/>
        <v>24000</v>
      </c>
    </row>
    <row r="119" spans="1:8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>
        <v>15000</v>
      </c>
      <c r="G119" s="124"/>
      <c r="H119" s="125">
        <f t="shared" si="6"/>
        <v>15000</v>
      </c>
    </row>
    <row r="120" spans="1:8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6"/>
        <v>0</v>
      </c>
    </row>
    <row r="121" spans="1:8" s="14" customFormat="1" ht="12.75" x14ac:dyDescent="0.2">
      <c r="A121" s="80">
        <v>5311</v>
      </c>
      <c r="B121" s="81" t="s">
        <v>171</v>
      </c>
      <c r="C121" s="123"/>
      <c r="D121" s="123"/>
      <c r="E121" s="123">
        <v>20000</v>
      </c>
      <c r="F121" s="124">
        <v>90641.69</v>
      </c>
      <c r="G121" s="124"/>
      <c r="H121" s="125">
        <f t="shared" si="6"/>
        <v>110641.69</v>
      </c>
    </row>
    <row r="122" spans="1:8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>
        <v>870000</v>
      </c>
      <c r="G122" s="124"/>
      <c r="H122" s="125">
        <f t="shared" si="6"/>
        <v>870000</v>
      </c>
    </row>
    <row r="123" spans="1:8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6"/>
        <v>0</v>
      </c>
    </row>
    <row r="124" spans="1:8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6"/>
        <v>0</v>
      </c>
    </row>
    <row r="125" spans="1:8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6"/>
        <v>0</v>
      </c>
    </row>
    <row r="126" spans="1:8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6"/>
        <v>0</v>
      </c>
    </row>
    <row r="127" spans="1:8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6"/>
        <v>0</v>
      </c>
    </row>
    <row r="128" spans="1:8" s="14" customFormat="1" ht="12.75" x14ac:dyDescent="0.2">
      <c r="A128" s="80">
        <v>5771</v>
      </c>
      <c r="B128" s="81" t="s">
        <v>240</v>
      </c>
      <c r="C128" s="123"/>
      <c r="D128" s="123"/>
      <c r="E128" s="123">
        <v>5000</v>
      </c>
      <c r="F128" s="124"/>
      <c r="G128" s="124"/>
      <c r="H128" s="125">
        <f t="shared" si="6"/>
        <v>5000</v>
      </c>
    </row>
    <row r="129" spans="1:8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6"/>
        <v>0</v>
      </c>
    </row>
    <row r="130" spans="1:8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6"/>
        <v>0</v>
      </c>
    </row>
    <row r="131" spans="1:8" s="14" customFormat="1" ht="12.75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:H131" si="7">SUM(E115:E130)</f>
        <v>49000</v>
      </c>
      <c r="F131" s="129">
        <f>SUM(F115:F130)</f>
        <v>1305501.69</v>
      </c>
      <c r="G131" s="129"/>
      <c r="H131" s="130">
        <f t="shared" si="7"/>
        <v>1354501.69</v>
      </c>
    </row>
    <row r="132" spans="1:8" s="23" customFormat="1" ht="12.75" x14ac:dyDescent="0.2">
      <c r="A132" s="24"/>
      <c r="B132" s="21" t="s">
        <v>114</v>
      </c>
      <c r="C132" s="132">
        <f t="shared" ref="C132:H132" si="8">C131+C113+C109+C63+C21</f>
        <v>8013784.0800000001</v>
      </c>
      <c r="D132" s="132">
        <f t="shared" si="8"/>
        <v>11533616</v>
      </c>
      <c r="E132" s="132">
        <f t="shared" si="8"/>
        <v>2040000</v>
      </c>
      <c r="F132" s="133">
        <f t="shared" si="8"/>
        <v>3192237.69</v>
      </c>
      <c r="G132" s="134"/>
      <c r="H132" s="135">
        <f t="shared" si="8"/>
        <v>24929637.77</v>
      </c>
    </row>
    <row r="133" spans="1:8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</row>
    <row r="134" spans="1:8" x14ac:dyDescent="0.25">
      <c r="A134" s="19"/>
      <c r="B134" s="59"/>
      <c r="C134" s="60"/>
      <c r="D134" s="60"/>
      <c r="E134" s="60"/>
      <c r="F134" s="72"/>
      <c r="G134" s="72"/>
      <c r="H134" s="18"/>
    </row>
    <row r="135" spans="1:8" x14ac:dyDescent="0.25">
      <c r="A135" s="19"/>
      <c r="B135" s="59"/>
      <c r="C135" s="60"/>
      <c r="D135" s="60"/>
      <c r="E135" s="60"/>
      <c r="F135" s="64"/>
      <c r="G135" s="64"/>
      <c r="H135" s="17"/>
    </row>
    <row r="136" spans="1:8" x14ac:dyDescent="0.25">
      <c r="A136" s="19"/>
      <c r="B136" s="59"/>
      <c r="C136" s="60"/>
      <c r="D136" s="60"/>
      <c r="E136" s="60"/>
      <c r="F136" s="60"/>
      <c r="G136" s="60"/>
      <c r="H136" s="17"/>
    </row>
    <row r="137" spans="1:8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8" x14ac:dyDescent="0.25">
      <c r="A138" s="19"/>
      <c r="B138" s="59"/>
      <c r="C138" s="60"/>
      <c r="D138" s="60"/>
      <c r="E138" s="60"/>
      <c r="F138" s="64"/>
      <c r="G138" s="64"/>
      <c r="H138" s="17"/>
    </row>
    <row r="139" spans="1:8" x14ac:dyDescent="0.25">
      <c r="A139" s="19"/>
      <c r="B139" s="19"/>
      <c r="C139" s="60"/>
      <c r="D139" s="60"/>
      <c r="E139" s="60"/>
      <c r="F139" s="64"/>
      <c r="G139" s="64"/>
      <c r="H139" s="17"/>
    </row>
    <row r="140" spans="1:8" x14ac:dyDescent="0.25">
      <c r="A140" s="2"/>
      <c r="B140" s="67" t="s">
        <v>167</v>
      </c>
    </row>
    <row r="141" spans="1:8" x14ac:dyDescent="0.25">
      <c r="A141" s="2"/>
      <c r="B141" s="2"/>
    </row>
    <row r="142" spans="1:8" x14ac:dyDescent="0.25">
      <c r="A142" s="2"/>
      <c r="B142" s="69"/>
      <c r="C142" s="70"/>
      <c r="D142" s="62">
        <v>1488457</v>
      </c>
    </row>
    <row r="143" spans="1:8" x14ac:dyDescent="0.25">
      <c r="D143" s="62">
        <v>1439167</v>
      </c>
    </row>
    <row r="145" spans="4:4" x14ac:dyDescent="0.25">
      <c r="D145" s="62">
        <f>D142-D143</f>
        <v>49290</v>
      </c>
    </row>
  </sheetData>
  <mergeCells count="13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B4:F4"/>
    <mergeCell ref="G5:G6"/>
    <mergeCell ref="G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6" orientation="landscape" horizontalDpi="4294967295" verticalDpi="4294967295" r:id="rId1"/>
  <rowBreaks count="1" manualBreakCount="1">
    <brk id="97" max="7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25" workbookViewId="0">
      <selection activeCell="D43" sqref="D43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5.85546875" style="66" customWidth="1"/>
    <col min="7" max="7" width="14.42578125" style="66" customWidth="1"/>
    <col min="8" max="8" width="19.42578125" style="1" customWidth="1"/>
    <col min="9" max="9" width="20" style="158" customWidth="1"/>
    <col min="10" max="10" width="12.42578125" style="162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211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64" t="s">
        <v>1</v>
      </c>
      <c r="B5" s="266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157"/>
      <c r="J5" s="163"/>
    </row>
    <row r="6" spans="1:11" s="11" customFormat="1" ht="25.5" customHeight="1" x14ac:dyDescent="0.2">
      <c r="A6" s="265"/>
      <c r="B6" s="267"/>
      <c r="C6" s="284"/>
      <c r="D6" s="284"/>
      <c r="E6" s="286"/>
      <c r="F6" s="276"/>
      <c r="G6" s="276"/>
      <c r="H6" s="278"/>
      <c r="I6" s="157"/>
      <c r="J6" s="163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157"/>
      <c r="J7" s="163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157"/>
      <c r="J8" s="164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157"/>
      <c r="J9" s="164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157"/>
      <c r="J10" s="164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157"/>
      <c r="J11" s="164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157"/>
      <c r="J12" s="164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157"/>
      <c r="J13" s="164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157"/>
      <c r="J14" s="164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157"/>
      <c r="J15" s="164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157"/>
      <c r="J16" s="164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157"/>
      <c r="J17" s="164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157"/>
      <c r="J18" s="164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157"/>
      <c r="J19" s="164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157"/>
      <c r="J20" s="164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167"/>
      <c r="J21" s="168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59"/>
      <c r="J22" s="165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1000</v>
      </c>
      <c r="E23" s="123"/>
      <c r="F23" s="124"/>
      <c r="G23" s="124"/>
      <c r="H23" s="125">
        <f>SUM(C23:G23)</f>
        <v>1000</v>
      </c>
      <c r="I23" s="182"/>
      <c r="J23" s="164"/>
    </row>
    <row r="24" spans="1:11" s="14" customFormat="1" ht="25.5" x14ac:dyDescent="0.2">
      <c r="A24" s="80">
        <v>2141</v>
      </c>
      <c r="B24" s="81" t="s">
        <v>13</v>
      </c>
      <c r="C24" s="123"/>
      <c r="D24" s="123"/>
      <c r="E24" s="123"/>
      <c r="F24" s="124"/>
      <c r="G24" s="124"/>
      <c r="H24" s="125">
        <f t="shared" ref="H24:H62" si="1">SUM(C24:G24)</f>
        <v>0</v>
      </c>
      <c r="I24" s="157"/>
      <c r="J24" s="164"/>
    </row>
    <row r="25" spans="1:11" s="14" customFormat="1" ht="12.75" x14ac:dyDescent="0.2">
      <c r="A25" s="80">
        <v>2151</v>
      </c>
      <c r="B25" s="81" t="s">
        <v>149</v>
      </c>
      <c r="C25" s="123"/>
      <c r="D25" s="123">
        <f>20000</f>
        <v>20000</v>
      </c>
      <c r="E25" s="123"/>
      <c r="F25" s="124"/>
      <c r="G25" s="124"/>
      <c r="H25" s="125">
        <f t="shared" si="1"/>
        <v>20000</v>
      </c>
      <c r="I25" s="157"/>
      <c r="J25" s="164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157"/>
      <c r="J26" s="164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157"/>
      <c r="J27" s="164"/>
    </row>
    <row r="28" spans="1:11" s="14" customFormat="1" ht="38.25" x14ac:dyDescent="0.2">
      <c r="A28" s="80">
        <v>2212</v>
      </c>
      <c r="B28" s="81" t="s">
        <v>132</v>
      </c>
      <c r="C28" s="123"/>
      <c r="D28" s="123"/>
      <c r="E28" s="123"/>
      <c r="F28" s="124"/>
      <c r="G28" s="124"/>
      <c r="H28" s="125">
        <f t="shared" si="1"/>
        <v>0</v>
      </c>
      <c r="I28" s="157"/>
      <c r="J28" s="164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157"/>
      <c r="J29" s="164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157"/>
      <c r="J30" s="164"/>
    </row>
    <row r="31" spans="1:11" s="14" customFormat="1" ht="25.5" x14ac:dyDescent="0.2">
      <c r="A31" s="80">
        <v>2311</v>
      </c>
      <c r="B31" s="81" t="s">
        <v>151</v>
      </c>
      <c r="C31" s="123"/>
      <c r="D31" s="123"/>
      <c r="E31" s="123"/>
      <c r="F31" s="124"/>
      <c r="G31" s="124"/>
      <c r="H31" s="125">
        <f t="shared" si="1"/>
        <v>0</v>
      </c>
      <c r="I31" s="157"/>
      <c r="J31" s="164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157"/>
      <c r="J32" s="164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157"/>
      <c r="J33" s="164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157"/>
      <c r="J34" s="164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>
        <v>2500</v>
      </c>
      <c r="F35" s="124"/>
      <c r="G35" s="124"/>
      <c r="H35" s="125">
        <f t="shared" si="1"/>
        <v>2500</v>
      </c>
      <c r="I35" s="157"/>
      <c r="J35" s="164"/>
    </row>
    <row r="36" spans="1:10" s="14" customFormat="1" ht="12.75" x14ac:dyDescent="0.2">
      <c r="A36" s="80">
        <v>2451</v>
      </c>
      <c r="B36" s="81" t="s">
        <v>19</v>
      </c>
      <c r="C36" s="123"/>
      <c r="D36" s="123">
        <v>1000</v>
      </c>
      <c r="E36" s="123"/>
      <c r="F36" s="124"/>
      <c r="G36" s="124"/>
      <c r="H36" s="125">
        <f t="shared" si="1"/>
        <v>1000</v>
      </c>
      <c r="I36" s="157"/>
      <c r="J36" s="164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>
        <v>15000</v>
      </c>
      <c r="G37" s="124"/>
      <c r="H37" s="125">
        <f t="shared" si="1"/>
        <v>15000</v>
      </c>
      <c r="I37" s="157"/>
      <c r="J37" s="164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>
        <v>10000</v>
      </c>
      <c r="G38" s="124"/>
      <c r="H38" s="125">
        <f>SUM(C38:G38)</f>
        <v>10000</v>
      </c>
      <c r="I38" s="157"/>
      <c r="J38" s="164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157"/>
      <c r="J39" s="164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157"/>
      <c r="J40" s="164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/>
      <c r="G41" s="124"/>
      <c r="H41" s="125">
        <f t="shared" si="1"/>
        <v>0</v>
      </c>
      <c r="I41" s="157"/>
      <c r="J41" s="164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23"/>
      <c r="F42" s="131"/>
      <c r="G42" s="131"/>
      <c r="H42" s="125">
        <f t="shared" si="1"/>
        <v>0</v>
      </c>
      <c r="I42" s="157"/>
      <c r="J42" s="164"/>
    </row>
    <row r="43" spans="1:10" s="14" customFormat="1" ht="12.75" x14ac:dyDescent="0.2">
      <c r="A43" s="80">
        <v>2531</v>
      </c>
      <c r="B43" s="81" t="s">
        <v>25</v>
      </c>
      <c r="C43" s="123"/>
      <c r="D43" s="123"/>
      <c r="E43" s="123"/>
      <c r="F43" s="131"/>
      <c r="G43" s="131"/>
      <c r="H43" s="125">
        <f t="shared" si="1"/>
        <v>0</v>
      </c>
      <c r="I43" s="157"/>
      <c r="J43" s="164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157"/>
      <c r="J44" s="164"/>
    </row>
    <row r="45" spans="1:10" s="14" customFormat="1" ht="12.75" x14ac:dyDescent="0.2">
      <c r="A45" s="80">
        <v>2551</v>
      </c>
      <c r="B45" s="81" t="s">
        <v>27</v>
      </c>
      <c r="C45" s="123"/>
      <c r="D45" s="123"/>
      <c r="E45" s="123"/>
      <c r="F45" s="124"/>
      <c r="G45" s="124"/>
      <c r="H45" s="125">
        <f t="shared" si="1"/>
        <v>0</v>
      </c>
      <c r="I45" s="157"/>
      <c r="J45" s="164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23"/>
      <c r="F46" s="124"/>
      <c r="G46" s="124"/>
      <c r="H46" s="125">
        <f t="shared" si="1"/>
        <v>0</v>
      </c>
      <c r="I46" s="157"/>
      <c r="J46" s="164"/>
    </row>
    <row r="47" spans="1:10" s="14" customFormat="1" ht="12.75" x14ac:dyDescent="0.2">
      <c r="A47" s="80">
        <v>2591</v>
      </c>
      <c r="B47" s="81" t="s">
        <v>155</v>
      </c>
      <c r="C47" s="123"/>
      <c r="D47" s="123"/>
      <c r="E47" s="123"/>
      <c r="F47" s="124"/>
      <c r="G47" s="124"/>
      <c r="H47" s="125">
        <f t="shared" si="1"/>
        <v>0</v>
      </c>
      <c r="I47" s="157"/>
      <c r="J47" s="164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157"/>
      <c r="J48" s="164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157"/>
      <c r="J49" s="164"/>
    </row>
    <row r="50" spans="1:10" s="14" customFormat="1" ht="12.75" x14ac:dyDescent="0.2">
      <c r="A50" s="80">
        <v>2711</v>
      </c>
      <c r="B50" s="81" t="s">
        <v>141</v>
      </c>
      <c r="C50" s="123"/>
      <c r="D50" s="123"/>
      <c r="E50" s="123"/>
      <c r="F50" s="124"/>
      <c r="G50" s="124"/>
      <c r="H50" s="125">
        <f t="shared" si="1"/>
        <v>0</v>
      </c>
      <c r="I50" s="157"/>
      <c r="J50" s="164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>
        <v>6000</v>
      </c>
      <c r="G51" s="124"/>
      <c r="H51" s="125">
        <f t="shared" si="1"/>
        <v>6000</v>
      </c>
      <c r="I51" s="157"/>
      <c r="J51" s="164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157"/>
      <c r="J52" s="164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157"/>
      <c r="J53" s="164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157"/>
      <c r="J54" s="164"/>
    </row>
    <row r="55" spans="1:10" s="14" customFormat="1" ht="12.75" x14ac:dyDescent="0.2">
      <c r="A55" s="80">
        <v>2911</v>
      </c>
      <c r="B55" s="81" t="s">
        <v>30</v>
      </c>
      <c r="C55" s="123"/>
      <c r="D55" s="123">
        <v>10000</v>
      </c>
      <c r="E55" s="123"/>
      <c r="F55" s="124"/>
      <c r="G55" s="124"/>
      <c r="H55" s="125">
        <f t="shared" si="1"/>
        <v>10000</v>
      </c>
      <c r="I55" s="157"/>
      <c r="J55" s="164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157"/>
      <c r="J56" s="164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157"/>
      <c r="J57" s="164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157"/>
      <c r="J58" s="164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23"/>
      <c r="F59" s="124"/>
      <c r="G59" s="124"/>
      <c r="H59" s="125">
        <f>SUM(C59:G59)</f>
        <v>0</v>
      </c>
      <c r="I59" s="157"/>
      <c r="J59" s="164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157"/>
      <c r="J60" s="164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>
        <v>24000</v>
      </c>
      <c r="F61" s="124"/>
      <c r="G61" s="124"/>
      <c r="H61" s="125">
        <f t="shared" si="1"/>
        <v>24000</v>
      </c>
      <c r="I61" s="157"/>
      <c r="J61" s="164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157"/>
      <c r="J62" s="164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32000</v>
      </c>
      <c r="E63" s="128">
        <f>SUM(E23:E62)</f>
        <v>26500</v>
      </c>
      <c r="F63" s="128">
        <f t="shared" ref="F63:G63" si="2">SUM(F23:F62)</f>
        <v>31000</v>
      </c>
      <c r="G63" s="128">
        <f t="shared" si="2"/>
        <v>0</v>
      </c>
      <c r="H63" s="128">
        <f>SUM(C63:G63)</f>
        <v>89500</v>
      </c>
      <c r="I63" s="157"/>
      <c r="J63" s="169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157"/>
      <c r="J64" s="169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25">
        <f>SUM(C65:G65)</f>
        <v>0</v>
      </c>
      <c r="I65" s="157"/>
      <c r="J65" s="169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25">
        <f t="shared" ref="H66:H108" si="3">SUM(C66:G66)</f>
        <v>0</v>
      </c>
      <c r="I66" s="157"/>
      <c r="J66" s="169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  <c r="I67" s="157"/>
      <c r="J67" s="169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/>
      <c r="G68" s="131"/>
      <c r="H68" s="125">
        <f t="shared" si="3"/>
        <v>0</v>
      </c>
      <c r="I68" s="157"/>
      <c r="J68" s="169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25">
        <f t="shared" si="3"/>
        <v>0</v>
      </c>
      <c r="I69" s="157"/>
      <c r="J69" s="169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25">
        <f t="shared" si="3"/>
        <v>0</v>
      </c>
      <c r="I70" s="157"/>
      <c r="J70" s="169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23"/>
      <c r="F71" s="131"/>
      <c r="G71" s="131"/>
      <c r="H71" s="125">
        <f t="shared" si="3"/>
        <v>0</v>
      </c>
      <c r="I71" s="157"/>
      <c r="J71" s="169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25">
        <f t="shared" si="3"/>
        <v>0</v>
      </c>
      <c r="I72" s="157"/>
      <c r="J72" s="169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/>
      <c r="F73" s="131"/>
      <c r="G73" s="131"/>
      <c r="H73" s="125">
        <f t="shared" si="3"/>
        <v>0</v>
      </c>
      <c r="I73" s="157"/>
      <c r="J73" s="169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25">
        <f t="shared" si="3"/>
        <v>0</v>
      </c>
      <c r="I74" s="157"/>
      <c r="J74" s="169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23"/>
      <c r="F75" s="131"/>
      <c r="G75" s="131"/>
      <c r="H75" s="125">
        <f t="shared" si="3"/>
        <v>0</v>
      </c>
      <c r="I75" s="157"/>
      <c r="J75" s="169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25">
        <f t="shared" si="3"/>
        <v>0</v>
      </c>
      <c r="I76" s="157"/>
      <c r="J76" s="169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>
        <v>25000</v>
      </c>
      <c r="G77" s="124"/>
      <c r="H77" s="125">
        <f t="shared" si="3"/>
        <v>25000</v>
      </c>
      <c r="I77" s="157"/>
      <c r="J77" s="169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25">
        <f t="shared" si="3"/>
        <v>0</v>
      </c>
      <c r="I78" s="157"/>
      <c r="J78" s="169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/>
      <c r="F79" s="124"/>
      <c r="G79" s="124"/>
      <c r="H79" s="125">
        <f t="shared" si="3"/>
        <v>0</v>
      </c>
      <c r="I79" s="157"/>
      <c r="J79" s="169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25">
        <f t="shared" si="3"/>
        <v>0</v>
      </c>
      <c r="I80" s="157"/>
      <c r="J80" s="169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25">
        <f t="shared" si="3"/>
        <v>0</v>
      </c>
      <c r="I81" s="157"/>
      <c r="J81" s="169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25">
        <f t="shared" si="3"/>
        <v>0</v>
      </c>
      <c r="I82" s="157"/>
      <c r="J82" s="169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25">
        <f t="shared" si="3"/>
        <v>0</v>
      </c>
      <c r="I83" s="157"/>
      <c r="J83" s="169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/>
      <c r="G84" s="124"/>
      <c r="H84" s="125">
        <f t="shared" si="3"/>
        <v>0</v>
      </c>
      <c r="I84" s="157"/>
      <c r="J84" s="169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25">
        <f t="shared" si="3"/>
        <v>0</v>
      </c>
      <c r="I85" s="157"/>
      <c r="J85" s="169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25">
        <f t="shared" si="3"/>
        <v>0</v>
      </c>
      <c r="I86" s="157"/>
      <c r="J86" s="169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/>
      <c r="F87" s="124"/>
      <c r="G87" s="124"/>
      <c r="H87" s="125">
        <f t="shared" si="3"/>
        <v>0</v>
      </c>
      <c r="I87" s="157"/>
      <c r="J87" s="169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25">
        <f t="shared" si="3"/>
        <v>0</v>
      </c>
      <c r="I88" s="157"/>
      <c r="J88" s="169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25">
        <f t="shared" si="3"/>
        <v>0</v>
      </c>
      <c r="I89" s="157"/>
      <c r="J89" s="169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25">
        <f t="shared" si="3"/>
        <v>0</v>
      </c>
      <c r="I90" s="157"/>
      <c r="J90" s="169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>
        <v>30000</v>
      </c>
      <c r="F91" s="131"/>
      <c r="G91" s="131"/>
      <c r="H91" s="125">
        <f t="shared" si="3"/>
        <v>30000</v>
      </c>
      <c r="I91" s="157"/>
      <c r="J91" s="169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25">
        <f t="shared" si="3"/>
        <v>0</v>
      </c>
      <c r="I92" s="157"/>
      <c r="J92" s="169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25">
        <f t="shared" si="3"/>
        <v>0</v>
      </c>
      <c r="I93" s="157"/>
      <c r="J93" s="169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>
        <v>16000</v>
      </c>
      <c r="F94" s="124"/>
      <c r="G94" s="124"/>
      <c r="H94" s="125">
        <f t="shared" si="3"/>
        <v>16000</v>
      </c>
      <c r="I94" s="157"/>
      <c r="J94" s="169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25">
        <f t="shared" si="3"/>
        <v>0</v>
      </c>
      <c r="I95" s="157"/>
      <c r="J95" s="169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25">
        <f t="shared" si="3"/>
        <v>0</v>
      </c>
      <c r="I96" s="157"/>
      <c r="J96" s="169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/>
      <c r="G97" s="131"/>
      <c r="H97" s="125">
        <f t="shared" si="3"/>
        <v>0</v>
      </c>
      <c r="I97" s="157"/>
      <c r="J97" s="169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  <c r="I98" s="157"/>
      <c r="J98" s="169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23"/>
      <c r="F99" s="124"/>
      <c r="G99" s="124"/>
      <c r="H99" s="125">
        <f t="shared" si="3"/>
        <v>0</v>
      </c>
      <c r="I99" s="157"/>
      <c r="J99" s="169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/>
      <c r="F100" s="124"/>
      <c r="G100" s="124"/>
      <c r="H100" s="125">
        <f t="shared" si="3"/>
        <v>0</v>
      </c>
      <c r="I100" s="157"/>
      <c r="J100" s="169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/>
      <c r="F101" s="124"/>
      <c r="G101" s="124"/>
      <c r="H101" s="125">
        <f t="shared" si="3"/>
        <v>0</v>
      </c>
      <c r="I101" s="157"/>
      <c r="J101" s="169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/>
      <c r="F102" s="124"/>
      <c r="G102" s="124"/>
      <c r="H102" s="125">
        <f t="shared" si="3"/>
        <v>0</v>
      </c>
      <c r="I102" s="157"/>
      <c r="J102" s="169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  <c r="I103" s="157"/>
      <c r="J103" s="169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25">
        <f t="shared" si="3"/>
        <v>0</v>
      </c>
      <c r="I104" s="157"/>
      <c r="J104" s="169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25">
        <f t="shared" si="3"/>
        <v>0</v>
      </c>
      <c r="I105" s="157"/>
      <c r="J105" s="169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25">
        <f t="shared" si="3"/>
        <v>0</v>
      </c>
      <c r="I106" s="157"/>
      <c r="J106" s="169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/>
      <c r="F107" s="131"/>
      <c r="G107" s="131"/>
      <c r="H107" s="125">
        <f t="shared" si="3"/>
        <v>0</v>
      </c>
      <c r="I107" s="157"/>
      <c r="J107" s="169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25">
        <f t="shared" si="3"/>
        <v>0</v>
      </c>
      <c r="I108" s="157"/>
      <c r="J108" s="169"/>
    </row>
    <row r="109" spans="1:10" s="14" customFormat="1" ht="28.5" customHeight="1" x14ac:dyDescent="0.2">
      <c r="A109" s="22"/>
      <c r="B109" s="20" t="s">
        <v>111</v>
      </c>
      <c r="C109" s="61">
        <f>SUM(C65:C108)</f>
        <v>0</v>
      </c>
      <c r="D109" s="61">
        <f>SUM(D65:D108)</f>
        <v>0</v>
      </c>
      <c r="E109" s="61">
        <f>SUM(E65:E108)</f>
        <v>46000</v>
      </c>
      <c r="F109" s="65">
        <f>SUM(F65:F108)</f>
        <v>25000</v>
      </c>
      <c r="G109" s="65">
        <f>SUM(G65:G108)</f>
        <v>0</v>
      </c>
      <c r="H109" s="65">
        <f>SUM(C109:G109)</f>
        <v>71000</v>
      </c>
      <c r="I109" s="157"/>
      <c r="J109" s="169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160"/>
      <c r="J110" s="164"/>
    </row>
    <row r="111" spans="1:10" s="23" customFormat="1" ht="12.75" x14ac:dyDescent="0.2">
      <c r="A111" s="80">
        <v>4246</v>
      </c>
      <c r="B111" s="81" t="s">
        <v>238</v>
      </c>
      <c r="C111" s="60"/>
      <c r="D111" s="60"/>
      <c r="E111" s="60"/>
      <c r="F111" s="64"/>
      <c r="G111" s="64"/>
      <c r="H111" s="18"/>
      <c r="I111" s="160"/>
      <c r="J111" s="164"/>
    </row>
    <row r="112" spans="1:10" s="14" customFormat="1" ht="25.5" x14ac:dyDescent="0.2">
      <c r="A112" s="80">
        <v>4156</v>
      </c>
      <c r="B112" s="81" t="s">
        <v>239</v>
      </c>
      <c r="C112" s="58"/>
      <c r="D112" s="58"/>
      <c r="E112" s="60"/>
      <c r="F112" s="64"/>
      <c r="G112" s="64"/>
      <c r="H112" s="18">
        <f>SUM(C112:F112)</f>
        <v>0</v>
      </c>
      <c r="I112" s="157"/>
      <c r="J112" s="164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SUM(D112)</f>
        <v>0</v>
      </c>
      <c r="E113" s="61">
        <f>SUM(E112)</f>
        <v>0</v>
      </c>
      <c r="F113" s="61">
        <f t="shared" ref="F113:H113" si="4">SUM(F112)</f>
        <v>0</v>
      </c>
      <c r="G113" s="61"/>
      <c r="H113" s="61">
        <f t="shared" si="4"/>
        <v>0</v>
      </c>
      <c r="I113" s="157"/>
      <c r="J113" s="164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160"/>
      <c r="J114" s="164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/>
      <c r="G115" s="124"/>
      <c r="H115" s="125">
        <f>SUM(C115:G115)</f>
        <v>0</v>
      </c>
      <c r="I115" s="157"/>
      <c r="J115" s="164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157"/>
      <c r="J116" s="164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157"/>
      <c r="J117" s="164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157"/>
      <c r="J118" s="164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157"/>
      <c r="J119" s="164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157"/>
      <c r="J120" s="164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/>
      <c r="G121" s="124"/>
      <c r="H121" s="125">
        <f t="shared" si="5"/>
        <v>0</v>
      </c>
      <c r="I121" s="157"/>
      <c r="J121" s="164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157"/>
      <c r="J122" s="164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157"/>
      <c r="J123" s="164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157"/>
      <c r="J124" s="164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157"/>
      <c r="J125" s="164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157"/>
      <c r="J126" s="164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157"/>
      <c r="J127" s="164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157"/>
      <c r="J128" s="164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157"/>
      <c r="J129" s="164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157"/>
      <c r="J130" s="164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0</v>
      </c>
      <c r="F131" s="129">
        <f>SUM(F115:F130)</f>
        <v>0</v>
      </c>
      <c r="G131" s="129">
        <f>SUM(G115:G130)</f>
        <v>0</v>
      </c>
      <c r="H131" s="130">
        <f>SUM(C131:G131)</f>
        <v>0</v>
      </c>
      <c r="I131" s="157"/>
      <c r="J131" s="164"/>
    </row>
    <row r="132" spans="1:10" s="23" customFormat="1" ht="29.25" customHeight="1" x14ac:dyDescent="0.2">
      <c r="A132" s="24"/>
      <c r="B132" s="21" t="s">
        <v>114</v>
      </c>
      <c r="C132" s="132">
        <f t="shared" ref="C132:H132" si="7">C131+C113+C109+C63+C21</f>
        <v>0</v>
      </c>
      <c r="D132" s="132">
        <f t="shared" si="7"/>
        <v>32000</v>
      </c>
      <c r="E132" s="132">
        <f t="shared" si="7"/>
        <v>72500</v>
      </c>
      <c r="F132" s="133">
        <f t="shared" si="7"/>
        <v>56000</v>
      </c>
      <c r="G132" s="133">
        <f t="shared" si="7"/>
        <v>0</v>
      </c>
      <c r="H132" s="135">
        <f t="shared" si="7"/>
        <v>160500</v>
      </c>
      <c r="I132" s="160"/>
      <c r="J132" s="164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161"/>
      <c r="J133" s="16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2">
    <mergeCell ref="F5:F6"/>
    <mergeCell ref="G5:G6"/>
    <mergeCell ref="H5:H6"/>
    <mergeCell ref="B4:H4"/>
    <mergeCell ref="A1:H1"/>
    <mergeCell ref="A2:H2"/>
    <mergeCell ref="A3:H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19" workbookViewId="0">
      <selection activeCell="D43" sqref="D43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42578125" style="66" customWidth="1"/>
    <col min="7" max="7" width="14.42578125" style="66" customWidth="1"/>
    <col min="8" max="8" width="19.42578125" style="1" customWidth="1"/>
    <col min="9" max="9" width="40.2851562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212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73"/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73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74"/>
      <c r="J8" s="77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74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74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74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74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74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74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74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74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74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74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74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74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74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1000</v>
      </c>
      <c r="E23" s="123"/>
      <c r="F23" s="124"/>
      <c r="G23" s="124"/>
      <c r="H23" s="125">
        <f>SUM(C23:G23)</f>
        <v>1000</v>
      </c>
      <c r="I23" s="74"/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/>
      <c r="E24" s="123"/>
      <c r="F24" s="124"/>
      <c r="G24" s="124"/>
      <c r="H24" s="125">
        <f t="shared" ref="H24:H62" si="1">SUM(C24:G24)</f>
        <v>0</v>
      </c>
      <c r="I24" s="74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23">
        <f>20000</f>
        <v>20000</v>
      </c>
      <c r="E25" s="123"/>
      <c r="F25" s="124"/>
      <c r="G25" s="124"/>
      <c r="H25" s="125">
        <f t="shared" si="1"/>
        <v>20000</v>
      </c>
      <c r="I25" s="74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74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74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/>
      <c r="E28" s="123"/>
      <c r="F28" s="124"/>
      <c r="G28" s="124"/>
      <c r="H28" s="125">
        <f t="shared" si="1"/>
        <v>0</v>
      </c>
      <c r="I28" s="74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74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74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>
        <v>14000</v>
      </c>
      <c r="E31" s="123"/>
      <c r="F31" s="124"/>
      <c r="G31" s="124"/>
      <c r="H31" s="125">
        <f t="shared" si="1"/>
        <v>14000</v>
      </c>
      <c r="I31" s="74"/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74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74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74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/>
      <c r="F35" s="124"/>
      <c r="G35" s="124"/>
      <c r="H35" s="125">
        <f t="shared" si="1"/>
        <v>0</v>
      </c>
      <c r="I35" s="74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/>
      <c r="E36" s="123"/>
      <c r="F36" s="124"/>
      <c r="G36" s="124"/>
      <c r="H36" s="125">
        <f t="shared" si="1"/>
        <v>0</v>
      </c>
      <c r="I36" s="74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/>
      <c r="G37" s="124"/>
      <c r="H37" s="125">
        <f t="shared" si="1"/>
        <v>0</v>
      </c>
      <c r="I37" s="74"/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/>
      <c r="G38" s="124"/>
      <c r="H38" s="125">
        <f>SUM(C38:G38)</f>
        <v>0</v>
      </c>
      <c r="I38" s="74"/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74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74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>
        <v>15000</v>
      </c>
      <c r="G41" s="124"/>
      <c r="H41" s="125">
        <f t="shared" si="1"/>
        <v>15000</v>
      </c>
      <c r="I41" s="74"/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23"/>
      <c r="F42" s="131"/>
      <c r="G42" s="131"/>
      <c r="H42" s="125">
        <f t="shared" si="1"/>
        <v>0</v>
      </c>
      <c r="I42" s="74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/>
      <c r="E43" s="123"/>
      <c r="F43" s="131"/>
      <c r="G43" s="131"/>
      <c r="H43" s="125">
        <f t="shared" si="1"/>
        <v>0</v>
      </c>
      <c r="I43" s="74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74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>
        <v>10000</v>
      </c>
      <c r="E45" s="173">
        <v>15000</v>
      </c>
      <c r="F45" s="124"/>
      <c r="G45" s="124"/>
      <c r="H45" s="125">
        <f t="shared" si="1"/>
        <v>25000</v>
      </c>
      <c r="I45" s="74"/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23"/>
      <c r="F46" s="124"/>
      <c r="G46" s="124"/>
      <c r="H46" s="125">
        <f t="shared" si="1"/>
        <v>0</v>
      </c>
      <c r="I46" s="74"/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>
        <v>10000</v>
      </c>
      <c r="E47" s="173">
        <v>5000</v>
      </c>
      <c r="F47" s="124"/>
      <c r="G47" s="124"/>
      <c r="H47" s="125">
        <f t="shared" si="1"/>
        <v>15000</v>
      </c>
      <c r="I47" s="74"/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74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74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/>
      <c r="E50" s="123"/>
      <c r="F50" s="124"/>
      <c r="G50" s="124"/>
      <c r="H50" s="125">
        <f t="shared" si="1"/>
        <v>0</v>
      </c>
      <c r="I50" s="74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>
        <v>9000</v>
      </c>
      <c r="G51" s="124"/>
      <c r="H51" s="125">
        <f t="shared" si="1"/>
        <v>9000</v>
      </c>
      <c r="I51" s="74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74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>
        <v>2000</v>
      </c>
      <c r="E53" s="123"/>
      <c r="F53" s="124"/>
      <c r="G53" s="124"/>
      <c r="H53" s="125">
        <f t="shared" si="1"/>
        <v>2000</v>
      </c>
      <c r="I53" s="74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>
        <v>15000</v>
      </c>
      <c r="E54" s="123"/>
      <c r="F54" s="124"/>
      <c r="G54" s="124"/>
      <c r="H54" s="125">
        <f>SUM(C54:G54)</f>
        <v>15000</v>
      </c>
      <c r="I54" s="74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/>
      <c r="E55" s="123"/>
      <c r="F55" s="124"/>
      <c r="G55" s="124"/>
      <c r="H55" s="125">
        <f t="shared" si="1"/>
        <v>0</v>
      </c>
      <c r="I55" s="74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74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74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74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86"/>
      <c r="F59" s="124"/>
      <c r="G59" s="124"/>
      <c r="H59" s="125">
        <f>SUM(C59:G59)</f>
        <v>0</v>
      </c>
      <c r="I59" s="74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74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74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74"/>
      <c r="J62" s="77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72000</v>
      </c>
      <c r="E63" s="128">
        <f>SUM(E23:E62)</f>
        <v>20000</v>
      </c>
      <c r="F63" s="128">
        <f t="shared" ref="F63:G63" si="2">SUM(F23:F62)</f>
        <v>24000</v>
      </c>
      <c r="G63" s="128">
        <f t="shared" si="2"/>
        <v>0</v>
      </c>
      <c r="H63" s="128">
        <f>SUM(C63:G63)</f>
        <v>116000</v>
      </c>
      <c r="I63" s="74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25">
        <f>SUM(C65:G65)</f>
        <v>0</v>
      </c>
      <c r="I65" s="74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>
        <v>19792</v>
      </c>
      <c r="E66" s="123"/>
      <c r="F66" s="124"/>
      <c r="G66" s="124"/>
      <c r="H66" s="125">
        <f t="shared" ref="H66:H108" si="3">SUM(C66:G66)</f>
        <v>19792</v>
      </c>
      <c r="I66" s="74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  <c r="I67" s="74"/>
      <c r="J67" s="77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/>
      <c r="G68" s="131"/>
      <c r="H68" s="125">
        <f t="shared" si="3"/>
        <v>0</v>
      </c>
      <c r="I68" s="74"/>
      <c r="J68" s="77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25">
        <f t="shared" si="3"/>
        <v>0</v>
      </c>
      <c r="I69" s="74"/>
      <c r="J69" s="77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25">
        <f t="shared" si="3"/>
        <v>0</v>
      </c>
      <c r="I70" s="74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23"/>
      <c r="F71" s="131"/>
      <c r="G71" s="131"/>
      <c r="H71" s="125">
        <f t="shared" si="3"/>
        <v>0</v>
      </c>
      <c r="I71" s="74"/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25">
        <f t="shared" si="3"/>
        <v>0</v>
      </c>
      <c r="I72" s="74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/>
      <c r="F73" s="131"/>
      <c r="G73" s="131"/>
      <c r="H73" s="125">
        <f t="shared" si="3"/>
        <v>0</v>
      </c>
      <c r="I73" s="74"/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25">
        <f t="shared" si="3"/>
        <v>0</v>
      </c>
      <c r="I74" s="74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23"/>
      <c r="F75" s="131"/>
      <c r="G75" s="131"/>
      <c r="H75" s="125">
        <f t="shared" si="3"/>
        <v>0</v>
      </c>
      <c r="I75" s="74"/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25">
        <f t="shared" si="3"/>
        <v>0</v>
      </c>
      <c r="I76" s="74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>
        <v>20000</v>
      </c>
      <c r="G77" s="124"/>
      <c r="H77" s="125">
        <f t="shared" si="3"/>
        <v>20000</v>
      </c>
      <c r="I77" s="74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25">
        <f t="shared" si="3"/>
        <v>0</v>
      </c>
      <c r="I78" s="74"/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/>
      <c r="F79" s="124"/>
      <c r="G79" s="124"/>
      <c r="H79" s="125">
        <f t="shared" si="3"/>
        <v>0</v>
      </c>
      <c r="I79" s="74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25">
        <f t="shared" si="3"/>
        <v>0</v>
      </c>
      <c r="I80" s="74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25">
        <f t="shared" si="3"/>
        <v>0</v>
      </c>
      <c r="I81" s="74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25">
        <f t="shared" si="3"/>
        <v>0</v>
      </c>
      <c r="I82" s="74"/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25">
        <f t="shared" si="3"/>
        <v>0</v>
      </c>
      <c r="I83" s="74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/>
      <c r="G84" s="124"/>
      <c r="H84" s="125">
        <f t="shared" si="3"/>
        <v>0</v>
      </c>
      <c r="I84" s="74"/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25">
        <f t="shared" si="3"/>
        <v>0</v>
      </c>
      <c r="I85" s="74"/>
      <c r="J85" s="77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25">
        <f t="shared" si="3"/>
        <v>0</v>
      </c>
      <c r="I86" s="74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/>
      <c r="F87" s="124"/>
      <c r="G87" s="124"/>
      <c r="H87" s="125">
        <f t="shared" si="3"/>
        <v>0</v>
      </c>
      <c r="I87" s="74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25">
        <f t="shared" si="3"/>
        <v>0</v>
      </c>
      <c r="I88" s="74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25">
        <f t="shared" si="3"/>
        <v>0</v>
      </c>
      <c r="I89" s="74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25">
        <f t="shared" si="3"/>
        <v>0</v>
      </c>
      <c r="I90" s="74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>
        <v>30000</v>
      </c>
      <c r="F91" s="131"/>
      <c r="G91" s="131"/>
      <c r="H91" s="125">
        <f t="shared" si="3"/>
        <v>30000</v>
      </c>
      <c r="I91" s="74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25">
        <f t="shared" si="3"/>
        <v>0</v>
      </c>
      <c r="I92" s="74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25">
        <f t="shared" si="3"/>
        <v>0</v>
      </c>
      <c r="I93" s="74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25">
        <f t="shared" si="3"/>
        <v>0</v>
      </c>
      <c r="I94" s="74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25">
        <f t="shared" si="3"/>
        <v>0</v>
      </c>
      <c r="I95" s="74"/>
      <c r="J95" s="77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25">
        <f t="shared" si="3"/>
        <v>0</v>
      </c>
      <c r="I96" s="74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/>
      <c r="G97" s="131"/>
      <c r="H97" s="125">
        <f t="shared" si="3"/>
        <v>0</v>
      </c>
      <c r="I97" s="74"/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  <c r="I98" s="74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23"/>
      <c r="F99" s="124"/>
      <c r="G99" s="124"/>
      <c r="H99" s="125">
        <f t="shared" si="3"/>
        <v>0</v>
      </c>
      <c r="I99" s="74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/>
      <c r="F100" s="124"/>
      <c r="G100" s="124"/>
      <c r="H100" s="125">
        <f t="shared" si="3"/>
        <v>0</v>
      </c>
      <c r="I100" s="74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/>
      <c r="F101" s="124"/>
      <c r="G101" s="124"/>
      <c r="H101" s="125">
        <f t="shared" si="3"/>
        <v>0</v>
      </c>
      <c r="I101" s="74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/>
      <c r="F102" s="124"/>
      <c r="G102" s="124"/>
      <c r="H102" s="125">
        <f t="shared" si="3"/>
        <v>0</v>
      </c>
      <c r="I102" s="74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  <c r="I103" s="74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25">
        <f t="shared" si="3"/>
        <v>0</v>
      </c>
      <c r="I104" s="74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25">
        <f t="shared" si="3"/>
        <v>0</v>
      </c>
      <c r="I105" s="74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25">
        <f t="shared" si="3"/>
        <v>0</v>
      </c>
      <c r="I106" s="74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/>
      <c r="F107" s="131"/>
      <c r="G107" s="131"/>
      <c r="H107" s="125">
        <f t="shared" si="3"/>
        <v>0</v>
      </c>
      <c r="I107" s="74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25">
        <f t="shared" si="3"/>
        <v>0</v>
      </c>
      <c r="I108" s="74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0</v>
      </c>
      <c r="D109" s="61">
        <f>SUM(D65:D108)</f>
        <v>19792</v>
      </c>
      <c r="E109" s="61">
        <f>SUM(E65:E108)</f>
        <v>30000</v>
      </c>
      <c r="F109" s="65">
        <f>SUM(F65:F108)</f>
        <v>20000</v>
      </c>
      <c r="G109" s="65">
        <f>SUM(G65:G108)</f>
        <v>0</v>
      </c>
      <c r="H109" s="65">
        <f>SUM(C109:G109)</f>
        <v>69792</v>
      </c>
      <c r="I109" s="74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12.75" x14ac:dyDescent="0.2">
      <c r="A111" s="80">
        <v>4246</v>
      </c>
      <c r="B111" s="81" t="s">
        <v>238</v>
      </c>
      <c r="C111" s="60"/>
      <c r="D111" s="60"/>
      <c r="E111" s="60"/>
      <c r="F111" s="64"/>
      <c r="G111" s="64"/>
      <c r="H111" s="18"/>
      <c r="I111" s="75"/>
      <c r="J111" s="77"/>
    </row>
    <row r="112" spans="1:10" s="14" customFormat="1" ht="25.5" x14ac:dyDescent="0.2">
      <c r="A112" s="80">
        <v>4156</v>
      </c>
      <c r="B112" s="81" t="s">
        <v>239</v>
      </c>
      <c r="C112" s="58"/>
      <c r="D112" s="58"/>
      <c r="E112" s="60"/>
      <c r="F112" s="64"/>
      <c r="G112" s="64"/>
      <c r="H112" s="18">
        <f>SUM(C112:F112)</f>
        <v>0</v>
      </c>
      <c r="I112" s="74"/>
      <c r="J112" s="77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SUM(D112)</f>
        <v>0</v>
      </c>
      <c r="E113" s="61">
        <f>SUM(E112)</f>
        <v>0</v>
      </c>
      <c r="F113" s="61">
        <f t="shared" ref="F113:H113" si="4">SUM(F112)</f>
        <v>0</v>
      </c>
      <c r="G113" s="61"/>
      <c r="H113" s="61">
        <f t="shared" si="4"/>
        <v>0</v>
      </c>
      <c r="I113" s="74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/>
      <c r="G115" s="124"/>
      <c r="H115" s="125">
        <f>SUM(C115:G115)</f>
        <v>0</v>
      </c>
      <c r="I115" s="74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74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74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74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74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74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>
        <v>30000</v>
      </c>
      <c r="G121" s="124"/>
      <c r="H121" s="125">
        <f t="shared" si="5"/>
        <v>30000</v>
      </c>
      <c r="I121" s="74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74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74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74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74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74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74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74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74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74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0</v>
      </c>
      <c r="F131" s="129">
        <f>SUM(F115:F130)</f>
        <v>30000</v>
      </c>
      <c r="G131" s="129">
        <f>SUM(G115:G130)</f>
        <v>0</v>
      </c>
      <c r="H131" s="130">
        <f>SUM(C131:G131)</f>
        <v>30000</v>
      </c>
      <c r="I131" s="74"/>
      <c r="J131" s="77"/>
    </row>
    <row r="132" spans="1:10" s="23" customFormat="1" ht="25.5" customHeight="1" x14ac:dyDescent="0.2">
      <c r="A132" s="24"/>
      <c r="B132" s="21" t="s">
        <v>114</v>
      </c>
      <c r="C132" s="132">
        <f t="shared" ref="C132:H132" si="7">C131+C113+C109+C63+C21</f>
        <v>0</v>
      </c>
      <c r="D132" s="132">
        <f t="shared" si="7"/>
        <v>91792</v>
      </c>
      <c r="E132" s="132">
        <f t="shared" si="7"/>
        <v>50000</v>
      </c>
      <c r="F132" s="133">
        <f t="shared" si="7"/>
        <v>74000</v>
      </c>
      <c r="G132" s="133">
        <f t="shared" si="7"/>
        <v>0</v>
      </c>
      <c r="H132" s="135">
        <f t="shared" si="7"/>
        <v>215792</v>
      </c>
      <c r="I132" s="7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2">
    <mergeCell ref="G5:G6"/>
    <mergeCell ref="H5:H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2"/>
  <sheetViews>
    <sheetView topLeftCell="A103" workbookViewId="0">
      <selection activeCell="E121" sqref="E121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140625" style="66" customWidth="1"/>
    <col min="7" max="7" width="14.42578125" style="66" customWidth="1"/>
    <col min="8" max="8" width="19.42578125" style="1" customWidth="1"/>
    <col min="9" max="9" width="40.2851562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213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73"/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73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74"/>
      <c r="J8" s="77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74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74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74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74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74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74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74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74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74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74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74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74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74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1000</v>
      </c>
      <c r="E23" s="123"/>
      <c r="F23" s="124"/>
      <c r="G23" s="124"/>
      <c r="H23" s="125">
        <f>SUM(C23:G23)</f>
        <v>1000</v>
      </c>
      <c r="I23" s="74"/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/>
      <c r="E24" s="123"/>
      <c r="F24" s="124"/>
      <c r="G24" s="124"/>
      <c r="H24" s="125">
        <f t="shared" ref="H24:H62" si="1">SUM(C24:G24)</f>
        <v>0</v>
      </c>
      <c r="I24" s="74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83">
        <f>100000-25000</f>
        <v>75000</v>
      </c>
      <c r="E25" s="123"/>
      <c r="F25" s="124"/>
      <c r="G25" s="124"/>
      <c r="H25" s="125">
        <f t="shared" si="1"/>
        <v>75000</v>
      </c>
      <c r="I25" s="74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74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74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/>
      <c r="E28" s="123"/>
      <c r="F28" s="124"/>
      <c r="G28" s="124"/>
      <c r="H28" s="125">
        <f t="shared" si="1"/>
        <v>0</v>
      </c>
      <c r="I28" s="74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74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74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/>
      <c r="E31" s="123"/>
      <c r="F31" s="124"/>
      <c r="G31" s="124"/>
      <c r="H31" s="125">
        <f t="shared" si="1"/>
        <v>0</v>
      </c>
      <c r="I31" s="74"/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74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74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74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/>
      <c r="F35" s="124"/>
      <c r="G35" s="124"/>
      <c r="H35" s="125">
        <f t="shared" si="1"/>
        <v>0</v>
      </c>
      <c r="I35" s="74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/>
      <c r="E36" s="123"/>
      <c r="F36" s="124"/>
      <c r="G36" s="124"/>
      <c r="H36" s="125">
        <f t="shared" si="1"/>
        <v>0</v>
      </c>
      <c r="I36" s="74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/>
      <c r="G37" s="124"/>
      <c r="H37" s="125">
        <f t="shared" si="1"/>
        <v>0</v>
      </c>
      <c r="I37" s="74"/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/>
      <c r="G38" s="124"/>
      <c r="H38" s="125">
        <f>SUM(C38:G38)</f>
        <v>0</v>
      </c>
      <c r="I38" s="74"/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74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74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>
        <v>15000</v>
      </c>
      <c r="G41" s="124"/>
      <c r="H41" s="125">
        <f t="shared" si="1"/>
        <v>15000</v>
      </c>
      <c r="I41" s="74"/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20000</v>
      </c>
      <c r="E42" s="173">
        <v>45000</v>
      </c>
      <c r="F42" s="131">
        <v>70000</v>
      </c>
      <c r="G42" s="131"/>
      <c r="H42" s="125">
        <f t="shared" si="1"/>
        <v>135000</v>
      </c>
      <c r="I42" s="74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/>
      <c r="E43" s="123"/>
      <c r="F43" s="131"/>
      <c r="G43" s="131"/>
      <c r="H43" s="125">
        <f t="shared" si="1"/>
        <v>0</v>
      </c>
      <c r="I43" s="74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74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/>
      <c r="E45" s="188">
        <v>2000</v>
      </c>
      <c r="F45" s="124"/>
      <c r="G45" s="124"/>
      <c r="H45" s="125">
        <f t="shared" si="1"/>
        <v>2000</v>
      </c>
      <c r="I45" s="74"/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73">
        <v>20000</v>
      </c>
      <c r="F46" s="124">
        <v>39500</v>
      </c>
      <c r="G46" s="124"/>
      <c r="H46" s="125">
        <f t="shared" si="1"/>
        <v>59500</v>
      </c>
      <c r="I46" s="74"/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/>
      <c r="E47" s="123"/>
      <c r="F47" s="124"/>
      <c r="G47" s="124"/>
      <c r="H47" s="125">
        <f t="shared" si="1"/>
        <v>0</v>
      </c>
      <c r="I47" s="74"/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74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>
        <v>20000</v>
      </c>
      <c r="E49" s="123"/>
      <c r="F49" s="124"/>
      <c r="G49" s="124"/>
      <c r="H49" s="125">
        <f t="shared" si="1"/>
        <v>20000</v>
      </c>
      <c r="I49" s="74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/>
      <c r="E50" s="123"/>
      <c r="F50" s="124"/>
      <c r="G50" s="124"/>
      <c r="H50" s="125">
        <f t="shared" si="1"/>
        <v>0</v>
      </c>
      <c r="I50" s="74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/>
      <c r="G51" s="124"/>
      <c r="H51" s="125">
        <f t="shared" si="1"/>
        <v>0</v>
      </c>
      <c r="I51" s="74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74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74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74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/>
      <c r="E55" s="123"/>
      <c r="F55" s="124"/>
      <c r="G55" s="124"/>
      <c r="H55" s="125">
        <f t="shared" si="1"/>
        <v>0</v>
      </c>
      <c r="I55" s="74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74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74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74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>
        <v>2000</v>
      </c>
      <c r="E59" s="188">
        <f>8000+10000</f>
        <v>18000</v>
      </c>
      <c r="F59" s="124"/>
      <c r="G59" s="124"/>
      <c r="H59" s="125">
        <f>SUM(C59:G59)</f>
        <v>20000</v>
      </c>
      <c r="I59" s="74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74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74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74"/>
      <c r="J62" s="77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118000</v>
      </c>
      <c r="E63" s="128">
        <f>SUM(E23:E62)</f>
        <v>85000</v>
      </c>
      <c r="F63" s="128">
        <f t="shared" ref="F63:G63" si="2">SUM(F23:F62)</f>
        <v>124500</v>
      </c>
      <c r="G63" s="128">
        <f t="shared" si="2"/>
        <v>0</v>
      </c>
      <c r="H63" s="128">
        <f>SUM(C63:G63)</f>
        <v>327500</v>
      </c>
      <c r="I63" s="74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25">
        <f>SUM(C65:G65)</f>
        <v>0</v>
      </c>
      <c r="I65" s="74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25">
        <f t="shared" ref="H66:H108" si="3">SUM(C66:G66)</f>
        <v>0</v>
      </c>
      <c r="I66" s="74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  <c r="I67" s="74"/>
      <c r="J67" s="77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/>
      <c r="G68" s="131"/>
      <c r="H68" s="125">
        <f t="shared" si="3"/>
        <v>0</v>
      </c>
      <c r="I68" s="74"/>
      <c r="J68" s="77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25">
        <f t="shared" si="3"/>
        <v>0</v>
      </c>
      <c r="I69" s="74"/>
      <c r="J69" s="77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25">
        <f t="shared" si="3"/>
        <v>0</v>
      </c>
      <c r="I70" s="74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>
        <v>18000</v>
      </c>
      <c r="E71" s="123"/>
      <c r="F71" s="131"/>
      <c r="G71" s="131"/>
      <c r="H71" s="125">
        <f t="shared" si="3"/>
        <v>18000</v>
      </c>
      <c r="I71" s="74"/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25">
        <f t="shared" si="3"/>
        <v>0</v>
      </c>
      <c r="I72" s="74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/>
      <c r="F73" s="131"/>
      <c r="G73" s="131"/>
      <c r="H73" s="125">
        <f t="shared" si="3"/>
        <v>0</v>
      </c>
      <c r="I73" s="74"/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25">
        <f t="shared" si="3"/>
        <v>0</v>
      </c>
      <c r="I74" s="74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23"/>
      <c r="F75" s="131"/>
      <c r="G75" s="131"/>
      <c r="H75" s="125">
        <f t="shared" si="3"/>
        <v>0</v>
      </c>
      <c r="I75" s="74"/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25">
        <f t="shared" si="3"/>
        <v>0</v>
      </c>
      <c r="I76" s="74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>
        <v>30000</v>
      </c>
      <c r="G77" s="124"/>
      <c r="H77" s="125">
        <f t="shared" si="3"/>
        <v>30000</v>
      </c>
      <c r="I77" s="74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25">
        <f t="shared" si="3"/>
        <v>0</v>
      </c>
      <c r="I78" s="74"/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/>
      <c r="F79" s="124"/>
      <c r="G79" s="124"/>
      <c r="H79" s="125">
        <f t="shared" si="3"/>
        <v>0</v>
      </c>
      <c r="I79" s="74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25">
        <f t="shared" si="3"/>
        <v>0</v>
      </c>
      <c r="I80" s="74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25">
        <f t="shared" si="3"/>
        <v>0</v>
      </c>
      <c r="I81" s="74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25">
        <f t="shared" si="3"/>
        <v>0</v>
      </c>
      <c r="I82" s="74"/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25">
        <f t="shared" si="3"/>
        <v>0</v>
      </c>
      <c r="I83" s="74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/>
      <c r="G84" s="124"/>
      <c r="H84" s="125">
        <f t="shared" si="3"/>
        <v>0</v>
      </c>
      <c r="I84" s="74"/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25">
        <f t="shared" si="3"/>
        <v>0</v>
      </c>
      <c r="I85" s="74"/>
      <c r="J85" s="77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25">
        <f t="shared" si="3"/>
        <v>0</v>
      </c>
      <c r="I86" s="74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/>
      <c r="F87" s="124"/>
      <c r="G87" s="124"/>
      <c r="H87" s="125">
        <f t="shared" si="3"/>
        <v>0</v>
      </c>
      <c r="I87" s="74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25">
        <f t="shared" si="3"/>
        <v>0</v>
      </c>
      <c r="I88" s="74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25">
        <f t="shared" si="3"/>
        <v>0</v>
      </c>
      <c r="I89" s="74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25">
        <f t="shared" si="3"/>
        <v>0</v>
      </c>
      <c r="I90" s="74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>
        <v>70000</v>
      </c>
      <c r="F91" s="131"/>
      <c r="G91" s="131"/>
      <c r="H91" s="125">
        <f t="shared" si="3"/>
        <v>70000</v>
      </c>
      <c r="I91" s="74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25">
        <f t="shared" si="3"/>
        <v>0</v>
      </c>
      <c r="I92" s="74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25">
        <f t="shared" si="3"/>
        <v>0</v>
      </c>
      <c r="I93" s="74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25">
        <f t="shared" si="3"/>
        <v>0</v>
      </c>
      <c r="I94" s="74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25">
        <f t="shared" si="3"/>
        <v>0</v>
      </c>
      <c r="I95" s="74"/>
      <c r="J95" s="77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25">
        <f t="shared" si="3"/>
        <v>0</v>
      </c>
      <c r="I96" s="74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/>
      <c r="G97" s="131"/>
      <c r="H97" s="125">
        <f t="shared" si="3"/>
        <v>0</v>
      </c>
      <c r="I97" s="74"/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  <c r="I98" s="74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23"/>
      <c r="F99" s="124"/>
      <c r="G99" s="124"/>
      <c r="H99" s="125">
        <f t="shared" si="3"/>
        <v>0</v>
      </c>
      <c r="I99" s="74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/>
      <c r="F100" s="124"/>
      <c r="G100" s="124"/>
      <c r="H100" s="125">
        <f t="shared" si="3"/>
        <v>0</v>
      </c>
      <c r="I100" s="74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/>
      <c r="F101" s="124"/>
      <c r="G101" s="124"/>
      <c r="H101" s="125">
        <f t="shared" si="3"/>
        <v>0</v>
      </c>
      <c r="I101" s="74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/>
      <c r="F102" s="124"/>
      <c r="G102" s="124"/>
      <c r="H102" s="125">
        <f t="shared" si="3"/>
        <v>0</v>
      </c>
      <c r="I102" s="74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  <c r="I103" s="74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25">
        <f t="shared" si="3"/>
        <v>0</v>
      </c>
      <c r="I104" s="74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25">
        <f t="shared" si="3"/>
        <v>0</v>
      </c>
      <c r="I105" s="74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25">
        <f t="shared" si="3"/>
        <v>0</v>
      </c>
      <c r="I106" s="74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/>
      <c r="F107" s="131"/>
      <c r="G107" s="131"/>
      <c r="H107" s="125">
        <f t="shared" si="3"/>
        <v>0</v>
      </c>
      <c r="I107" s="74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25">
        <f t="shared" si="3"/>
        <v>0</v>
      </c>
      <c r="I108" s="74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0</v>
      </c>
      <c r="D109" s="61">
        <f>SUM(D65:D108)</f>
        <v>18000</v>
      </c>
      <c r="E109" s="61">
        <f>SUM(E65:E108)</f>
        <v>70000</v>
      </c>
      <c r="F109" s="65">
        <f>SUM(F65:F108)</f>
        <v>30000</v>
      </c>
      <c r="G109" s="65">
        <f>SUM(G65:G108)</f>
        <v>0</v>
      </c>
      <c r="H109" s="65">
        <f>SUM(C109:G109)</f>
        <v>118000</v>
      </c>
      <c r="I109" s="74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12.75" x14ac:dyDescent="0.2">
      <c r="A111" s="80">
        <v>4246</v>
      </c>
      <c r="B111" s="81" t="s">
        <v>238</v>
      </c>
      <c r="C111" s="60"/>
      <c r="D111" s="60"/>
      <c r="E111" s="60"/>
      <c r="F111" s="64"/>
      <c r="G111" s="64"/>
      <c r="H111" s="18"/>
      <c r="I111" s="75"/>
      <c r="J111" s="77"/>
    </row>
    <row r="112" spans="1:10" s="14" customFormat="1" ht="25.5" x14ac:dyDescent="0.2">
      <c r="A112" s="80">
        <v>4156</v>
      </c>
      <c r="B112" s="81" t="s">
        <v>239</v>
      </c>
      <c r="C112" s="58"/>
      <c r="D112" s="58"/>
      <c r="E112" s="60"/>
      <c r="F112" s="64"/>
      <c r="G112" s="64"/>
      <c r="H112" s="18">
        <f>SUM(C112:F112)</f>
        <v>0</v>
      </c>
      <c r="I112" s="74"/>
      <c r="J112" s="77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SUM(D112)</f>
        <v>0</v>
      </c>
      <c r="E113" s="61">
        <f>SUM(E112)</f>
        <v>0</v>
      </c>
      <c r="F113" s="61">
        <f t="shared" ref="F113:H113" si="4">SUM(F112)</f>
        <v>0</v>
      </c>
      <c r="G113" s="61">
        <f t="shared" si="4"/>
        <v>0</v>
      </c>
      <c r="H113" s="61">
        <f t="shared" si="4"/>
        <v>0</v>
      </c>
      <c r="I113" s="74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>
        <v>29000</v>
      </c>
      <c r="G115" s="124"/>
      <c r="H115" s="125">
        <f>SUM(C115:G115)</f>
        <v>29000</v>
      </c>
      <c r="I115" s="74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74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74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74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74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74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88">
        <v>20000</v>
      </c>
      <c r="F121" s="124">
        <v>60641.69</v>
      </c>
      <c r="G121" s="124"/>
      <c r="H121" s="125">
        <f t="shared" si="5"/>
        <v>80641.69</v>
      </c>
      <c r="I121" s="74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74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74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74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74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74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74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73">
        <v>5000</v>
      </c>
      <c r="F128" s="124"/>
      <c r="G128" s="124"/>
      <c r="H128" s="125"/>
      <c r="I128" s="74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74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74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25000</v>
      </c>
      <c r="F131" s="129">
        <f>SUM(F115:F130)</f>
        <v>89641.69</v>
      </c>
      <c r="G131" s="129">
        <f>SUM(G115:G130)</f>
        <v>0</v>
      </c>
      <c r="H131" s="130">
        <f>SUM(C131:G131)</f>
        <v>114641.69</v>
      </c>
      <c r="I131" s="74"/>
      <c r="J131" s="77"/>
    </row>
    <row r="132" spans="1:10" s="23" customFormat="1" ht="24.75" customHeight="1" x14ac:dyDescent="0.2">
      <c r="A132" s="24"/>
      <c r="B132" s="21" t="s">
        <v>114</v>
      </c>
      <c r="C132" s="132">
        <f t="shared" ref="C132:H132" si="7">C131+C113+C109+C63+C21</f>
        <v>0</v>
      </c>
      <c r="D132" s="132">
        <f t="shared" si="7"/>
        <v>136000</v>
      </c>
      <c r="E132" s="132">
        <f t="shared" si="7"/>
        <v>180000</v>
      </c>
      <c r="F132" s="133">
        <f t="shared" si="7"/>
        <v>244141.69</v>
      </c>
      <c r="G132" s="133">
        <f t="shared" si="7"/>
        <v>0</v>
      </c>
      <c r="H132" s="135">
        <f t="shared" si="7"/>
        <v>560141.68999999994</v>
      </c>
      <c r="I132" s="7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dataConsolidate/>
  <mergeCells count="12">
    <mergeCell ref="G5:G6"/>
    <mergeCell ref="H5:H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25" workbookViewId="0">
      <selection activeCell="D43" sqref="D43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140625" style="66" customWidth="1"/>
    <col min="7" max="7" width="14.42578125" style="66" customWidth="1"/>
    <col min="8" max="8" width="19.42578125" style="1" customWidth="1"/>
    <col min="9" max="9" width="40.2851562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214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73"/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73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74"/>
      <c r="J8" s="77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74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74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74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74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74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74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74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74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74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74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74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74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74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1000</v>
      </c>
      <c r="E23" s="123"/>
      <c r="F23" s="124"/>
      <c r="G23" s="124"/>
      <c r="H23" s="125">
        <f>SUM(C23:G23)</f>
        <v>1000</v>
      </c>
      <c r="I23" s="74"/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/>
      <c r="E24" s="123"/>
      <c r="F24" s="124"/>
      <c r="G24" s="124"/>
      <c r="H24" s="125">
        <f t="shared" ref="H24:H62" si="1">SUM(C24:G24)</f>
        <v>0</v>
      </c>
      <c r="I24" s="74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23">
        <f>100000</f>
        <v>100000</v>
      </c>
      <c r="E25" s="123"/>
      <c r="F25" s="124"/>
      <c r="G25" s="124"/>
      <c r="H25" s="125">
        <f t="shared" si="1"/>
        <v>100000</v>
      </c>
      <c r="I25" s="74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74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>
        <v>1500</v>
      </c>
      <c r="E27" s="123"/>
      <c r="F27" s="124"/>
      <c r="G27" s="124"/>
      <c r="H27" s="125">
        <f t="shared" si="1"/>
        <v>1500</v>
      </c>
      <c r="I27" s="74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/>
      <c r="E28" s="123"/>
      <c r="F28" s="124"/>
      <c r="G28" s="124"/>
      <c r="H28" s="125">
        <f t="shared" si="1"/>
        <v>0</v>
      </c>
      <c r="I28" s="74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74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74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/>
      <c r="E31" s="123"/>
      <c r="F31" s="124"/>
      <c r="G31" s="124"/>
      <c r="H31" s="125">
        <f t="shared" si="1"/>
        <v>0</v>
      </c>
      <c r="I31" s="74"/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74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74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74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/>
      <c r="F35" s="124"/>
      <c r="G35" s="124"/>
      <c r="H35" s="125">
        <f t="shared" si="1"/>
        <v>0</v>
      </c>
      <c r="I35" s="74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/>
      <c r="E36" s="123"/>
      <c r="F36" s="124"/>
      <c r="G36" s="124"/>
      <c r="H36" s="125">
        <f t="shared" si="1"/>
        <v>0</v>
      </c>
      <c r="I36" s="74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/>
      <c r="G37" s="124"/>
      <c r="H37" s="125">
        <f t="shared" si="1"/>
        <v>0</v>
      </c>
      <c r="I37" s="74"/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/>
      <c r="G38" s="124"/>
      <c r="H38" s="125">
        <f>SUM(C38:G38)</f>
        <v>0</v>
      </c>
      <c r="I38" s="74"/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74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74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/>
      <c r="G41" s="124"/>
      <c r="H41" s="125">
        <f t="shared" si="1"/>
        <v>0</v>
      </c>
      <c r="I41" s="74"/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23"/>
      <c r="F42" s="131"/>
      <c r="G42" s="131"/>
      <c r="H42" s="125">
        <f t="shared" si="1"/>
        <v>0</v>
      </c>
      <c r="I42" s="74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/>
      <c r="E43" s="123"/>
      <c r="F43" s="131"/>
      <c r="G43" s="131"/>
      <c r="H43" s="125">
        <f t="shared" si="1"/>
        <v>0</v>
      </c>
      <c r="I43" s="74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74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/>
      <c r="E45" s="123"/>
      <c r="F45" s="124"/>
      <c r="G45" s="124"/>
      <c r="H45" s="125">
        <f t="shared" si="1"/>
        <v>0</v>
      </c>
      <c r="I45" s="74"/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23"/>
      <c r="F46" s="124"/>
      <c r="G46" s="124"/>
      <c r="H46" s="125">
        <f t="shared" si="1"/>
        <v>0</v>
      </c>
      <c r="I46" s="74"/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/>
      <c r="E47" s="123"/>
      <c r="F47" s="124"/>
      <c r="G47" s="124"/>
      <c r="H47" s="125">
        <f t="shared" si="1"/>
        <v>0</v>
      </c>
      <c r="I47" s="74"/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74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74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/>
      <c r="E50" s="123"/>
      <c r="F50" s="124"/>
      <c r="G50" s="124"/>
      <c r="H50" s="125">
        <f t="shared" si="1"/>
        <v>0</v>
      </c>
      <c r="I50" s="74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/>
      <c r="G51" s="124"/>
      <c r="H51" s="125">
        <f t="shared" si="1"/>
        <v>0</v>
      </c>
      <c r="I51" s="74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74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74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74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/>
      <c r="E55" s="123"/>
      <c r="F55" s="124"/>
      <c r="G55" s="124"/>
      <c r="H55" s="125">
        <f t="shared" si="1"/>
        <v>0</v>
      </c>
      <c r="I55" s="74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74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74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74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23"/>
      <c r="F59" s="124"/>
      <c r="G59" s="124"/>
      <c r="H59" s="125">
        <f>SUM(C59:G59)</f>
        <v>0</v>
      </c>
      <c r="I59" s="74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74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74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74"/>
      <c r="J62" s="77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102500</v>
      </c>
      <c r="E63" s="128">
        <f>SUM(E23:E62)</f>
        <v>0</v>
      </c>
      <c r="F63" s="128">
        <f t="shared" ref="F63:G63" si="2">SUM(F23:F62)</f>
        <v>0</v>
      </c>
      <c r="G63" s="128">
        <f t="shared" si="2"/>
        <v>0</v>
      </c>
      <c r="H63" s="128">
        <f>SUM(C63:G63)</f>
        <v>102500</v>
      </c>
      <c r="I63" s="74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25">
        <f>SUM(C65:G65)</f>
        <v>0</v>
      </c>
      <c r="I65" s="74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25">
        <f t="shared" ref="H66:H108" si="3">SUM(C66:G66)</f>
        <v>0</v>
      </c>
      <c r="I66" s="74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25">
        <f t="shared" si="3"/>
        <v>0</v>
      </c>
      <c r="I67" s="74"/>
      <c r="J67" s="77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/>
      <c r="G68" s="131"/>
      <c r="H68" s="125">
        <f t="shared" si="3"/>
        <v>0</v>
      </c>
      <c r="I68" s="74"/>
      <c r="J68" s="77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25">
        <f t="shared" si="3"/>
        <v>0</v>
      </c>
      <c r="I69" s="74"/>
      <c r="J69" s="77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25">
        <f t="shared" si="3"/>
        <v>0</v>
      </c>
      <c r="I70" s="74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23"/>
      <c r="F71" s="131"/>
      <c r="G71" s="131"/>
      <c r="H71" s="125">
        <f t="shared" si="3"/>
        <v>0</v>
      </c>
      <c r="I71" s="74"/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25">
        <f t="shared" si="3"/>
        <v>0</v>
      </c>
      <c r="I72" s="74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/>
      <c r="F73" s="131"/>
      <c r="G73" s="131"/>
      <c r="H73" s="125">
        <f t="shared" si="3"/>
        <v>0</v>
      </c>
      <c r="I73" s="74"/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25">
        <f t="shared" si="3"/>
        <v>0</v>
      </c>
      <c r="I74" s="74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23"/>
      <c r="F75" s="131"/>
      <c r="G75" s="131"/>
      <c r="H75" s="125">
        <f t="shared" si="3"/>
        <v>0</v>
      </c>
      <c r="I75" s="74"/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25">
        <f t="shared" si="3"/>
        <v>0</v>
      </c>
      <c r="I76" s="74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>
        <v>25000</v>
      </c>
      <c r="G77" s="124"/>
      <c r="H77" s="125">
        <f t="shared" si="3"/>
        <v>25000</v>
      </c>
      <c r="I77" s="74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25">
        <f t="shared" si="3"/>
        <v>0</v>
      </c>
      <c r="I78" s="74"/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/>
      <c r="F79" s="124"/>
      <c r="G79" s="124"/>
      <c r="H79" s="125">
        <f t="shared" si="3"/>
        <v>0</v>
      </c>
      <c r="I79" s="74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25">
        <f t="shared" si="3"/>
        <v>0</v>
      </c>
      <c r="I80" s="74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25">
        <f t="shared" si="3"/>
        <v>0</v>
      </c>
      <c r="I81" s="74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25">
        <f t="shared" si="3"/>
        <v>0</v>
      </c>
      <c r="I82" s="74"/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25">
        <f t="shared" si="3"/>
        <v>0</v>
      </c>
      <c r="I83" s="74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/>
      <c r="G84" s="124"/>
      <c r="H84" s="125">
        <f t="shared" si="3"/>
        <v>0</v>
      </c>
      <c r="I84" s="74"/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25">
        <f t="shared" si="3"/>
        <v>0</v>
      </c>
      <c r="I85" s="74"/>
      <c r="J85" s="77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25">
        <f t="shared" si="3"/>
        <v>0</v>
      </c>
      <c r="I86" s="74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/>
      <c r="F87" s="124"/>
      <c r="G87" s="124"/>
      <c r="H87" s="125">
        <f t="shared" si="3"/>
        <v>0</v>
      </c>
      <c r="I87" s="74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25">
        <f t="shared" si="3"/>
        <v>0</v>
      </c>
      <c r="I88" s="74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25">
        <f t="shared" si="3"/>
        <v>0</v>
      </c>
      <c r="I89" s="74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25">
        <f t="shared" si="3"/>
        <v>0</v>
      </c>
      <c r="I90" s="74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/>
      <c r="F91" s="131"/>
      <c r="G91" s="131"/>
      <c r="H91" s="125">
        <f t="shared" si="3"/>
        <v>0</v>
      </c>
      <c r="I91" s="74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25">
        <f t="shared" si="3"/>
        <v>0</v>
      </c>
      <c r="I92" s="74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25">
        <f t="shared" si="3"/>
        <v>0</v>
      </c>
      <c r="I93" s="74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25">
        <f t="shared" si="3"/>
        <v>0</v>
      </c>
      <c r="I94" s="74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25">
        <f t="shared" si="3"/>
        <v>0</v>
      </c>
      <c r="I95" s="74"/>
      <c r="J95" s="77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25">
        <f t="shared" si="3"/>
        <v>0</v>
      </c>
      <c r="I96" s="74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/>
      <c r="G97" s="131"/>
      <c r="H97" s="125">
        <f t="shared" si="3"/>
        <v>0</v>
      </c>
      <c r="I97" s="74"/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25">
        <f t="shared" si="3"/>
        <v>0</v>
      </c>
      <c r="I98" s="74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23"/>
      <c r="F99" s="124"/>
      <c r="G99" s="124"/>
      <c r="H99" s="125">
        <f t="shared" si="3"/>
        <v>0</v>
      </c>
      <c r="I99" s="74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/>
      <c r="F100" s="124"/>
      <c r="G100" s="124"/>
      <c r="H100" s="125">
        <f t="shared" si="3"/>
        <v>0</v>
      </c>
      <c r="I100" s="74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/>
      <c r="F101" s="124"/>
      <c r="G101" s="124"/>
      <c r="H101" s="125">
        <f t="shared" si="3"/>
        <v>0</v>
      </c>
      <c r="I101" s="74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/>
      <c r="F102" s="124"/>
      <c r="G102" s="124"/>
      <c r="H102" s="125">
        <f t="shared" si="3"/>
        <v>0</v>
      </c>
      <c r="I102" s="74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25">
        <f t="shared" si="3"/>
        <v>0</v>
      </c>
      <c r="I103" s="74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25">
        <f t="shared" si="3"/>
        <v>0</v>
      </c>
      <c r="I104" s="74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25">
        <f t="shared" si="3"/>
        <v>0</v>
      </c>
      <c r="I105" s="74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25">
        <f t="shared" si="3"/>
        <v>0</v>
      </c>
      <c r="I106" s="74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/>
      <c r="F107" s="131"/>
      <c r="G107" s="131"/>
      <c r="H107" s="125">
        <f t="shared" si="3"/>
        <v>0</v>
      </c>
      <c r="I107" s="74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25">
        <f t="shared" si="3"/>
        <v>0</v>
      </c>
      <c r="I108" s="74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0</v>
      </c>
      <c r="D109" s="61">
        <f>SUM(D65:D108)</f>
        <v>0</v>
      </c>
      <c r="E109" s="61">
        <f>SUM(E65:E108)</f>
        <v>0</v>
      </c>
      <c r="F109" s="65">
        <f>SUM(F65:F108)</f>
        <v>25000</v>
      </c>
      <c r="G109" s="65">
        <f>SUM(G65:G108)</f>
        <v>0</v>
      </c>
      <c r="H109" s="65">
        <f>SUM(C109:G109)</f>
        <v>25000</v>
      </c>
      <c r="I109" s="74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12.75" x14ac:dyDescent="0.2">
      <c r="A111" s="80">
        <v>4246</v>
      </c>
      <c r="B111" s="81" t="s">
        <v>238</v>
      </c>
      <c r="C111" s="60"/>
      <c r="D111" s="60"/>
      <c r="E111" s="60"/>
      <c r="F111" s="64"/>
      <c r="G111" s="64"/>
      <c r="H111" s="18"/>
      <c r="I111" s="75"/>
      <c r="J111" s="77"/>
    </row>
    <row r="112" spans="1:10" s="14" customFormat="1" ht="25.5" x14ac:dyDescent="0.2">
      <c r="A112" s="80">
        <v>4156</v>
      </c>
      <c r="B112" s="81" t="s">
        <v>239</v>
      </c>
      <c r="C112" s="58"/>
      <c r="D112" s="58"/>
      <c r="E112" s="60"/>
      <c r="F112" s="64"/>
      <c r="G112" s="64"/>
      <c r="H112" s="18">
        <f>SUM(C112:F112)</f>
        <v>0</v>
      </c>
      <c r="I112" s="74"/>
      <c r="J112" s="77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SUM(D112)</f>
        <v>0</v>
      </c>
      <c r="E113" s="61">
        <f>SUM(E112)</f>
        <v>0</v>
      </c>
      <c r="F113" s="61">
        <f t="shared" ref="F113:H113" si="4">SUM(F112)</f>
        <v>0</v>
      </c>
      <c r="G113" s="61"/>
      <c r="H113" s="61">
        <f t="shared" si="4"/>
        <v>0</v>
      </c>
      <c r="I113" s="74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/>
      <c r="G115" s="124"/>
      <c r="H115" s="125">
        <f>SUM(C115:G115)</f>
        <v>0</v>
      </c>
      <c r="I115" s="74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74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74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74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74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74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/>
      <c r="G121" s="124"/>
      <c r="H121" s="125">
        <f t="shared" si="5"/>
        <v>0</v>
      </c>
      <c r="I121" s="74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74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74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74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74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74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74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74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74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74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0</v>
      </c>
      <c r="F131" s="129">
        <f>SUM(F115:F130)</f>
        <v>0</v>
      </c>
      <c r="G131" s="129">
        <f>SUM(G115:G130)</f>
        <v>0</v>
      </c>
      <c r="H131" s="130">
        <f>SUM(C131:G131)</f>
        <v>0</v>
      </c>
      <c r="I131" s="74"/>
      <c r="J131" s="77"/>
    </row>
    <row r="132" spans="1:10" s="23" customFormat="1" ht="24.75" customHeight="1" x14ac:dyDescent="0.2">
      <c r="A132" s="24"/>
      <c r="B132" s="21" t="s">
        <v>114</v>
      </c>
      <c r="C132" s="132">
        <f t="shared" ref="C132:H132" si="7">C131+C113+C109+C63+C21</f>
        <v>0</v>
      </c>
      <c r="D132" s="132">
        <f t="shared" si="7"/>
        <v>102500</v>
      </c>
      <c r="E132" s="132">
        <f t="shared" si="7"/>
        <v>0</v>
      </c>
      <c r="F132" s="133">
        <f t="shared" si="7"/>
        <v>25000</v>
      </c>
      <c r="G132" s="133">
        <f t="shared" si="7"/>
        <v>0</v>
      </c>
      <c r="H132" s="135">
        <f t="shared" si="7"/>
        <v>127500</v>
      </c>
      <c r="I132" s="7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2">
    <mergeCell ref="G5:G6"/>
    <mergeCell ref="H5:H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106" workbookViewId="0">
      <selection activeCell="E13" sqref="E13"/>
    </sheetView>
  </sheetViews>
  <sheetFormatPr baseColWidth="10" defaultColWidth="11.42578125" defaultRowHeight="15" x14ac:dyDescent="0.25"/>
  <cols>
    <col min="1" max="1" width="15.7109375" style="1" customWidth="1"/>
    <col min="2" max="2" width="63.5703125" style="1" customWidth="1"/>
    <col min="3" max="4" width="17.28515625" style="62" customWidth="1"/>
    <col min="5" max="5" width="16.140625" style="62" customWidth="1"/>
    <col min="6" max="6" width="16.140625" style="66" customWidth="1"/>
    <col min="7" max="7" width="14.42578125" style="66" customWidth="1"/>
    <col min="8" max="8" width="19.42578125" style="1" customWidth="1"/>
    <col min="9" max="9" width="40.28515625" style="62" customWidth="1"/>
    <col min="10" max="10" width="32.42578125" style="1" customWidth="1"/>
    <col min="11" max="11" width="26.42578125" style="1" customWidth="1"/>
    <col min="12" max="16384" width="11.42578125" style="1"/>
  </cols>
  <sheetData>
    <row r="1" spans="1:11" ht="18" x14ac:dyDescent="0.25">
      <c r="A1" s="280" t="s">
        <v>143</v>
      </c>
      <c r="B1" s="280"/>
      <c r="C1" s="280"/>
      <c r="D1" s="280"/>
      <c r="E1" s="280"/>
      <c r="F1" s="280"/>
      <c r="G1" s="280"/>
      <c r="H1" s="280"/>
    </row>
    <row r="2" spans="1:11" ht="18" customHeight="1" x14ac:dyDescent="0.25">
      <c r="A2" s="281" t="s">
        <v>168</v>
      </c>
      <c r="B2" s="281"/>
      <c r="C2" s="281"/>
      <c r="D2" s="281"/>
      <c r="E2" s="281"/>
      <c r="F2" s="281"/>
      <c r="G2" s="281"/>
      <c r="H2" s="281"/>
    </row>
    <row r="3" spans="1:11" ht="15" customHeight="1" x14ac:dyDescent="0.25">
      <c r="A3" s="282" t="s">
        <v>210</v>
      </c>
      <c r="B3" s="282"/>
      <c r="C3" s="282"/>
      <c r="D3" s="282"/>
      <c r="E3" s="282"/>
      <c r="F3" s="282"/>
      <c r="G3" s="282"/>
      <c r="H3" s="282"/>
    </row>
    <row r="4" spans="1:11" ht="34.5" customHeight="1" x14ac:dyDescent="0.25">
      <c r="B4" s="279" t="s">
        <v>215</v>
      </c>
      <c r="C4" s="279"/>
      <c r="D4" s="279"/>
      <c r="E4" s="279"/>
      <c r="F4" s="279"/>
      <c r="G4" s="279"/>
      <c r="H4" s="279"/>
    </row>
    <row r="5" spans="1:11" s="11" customFormat="1" ht="25.5" customHeight="1" x14ac:dyDescent="0.2">
      <c r="A5" s="287" t="s">
        <v>1</v>
      </c>
      <c r="B5" s="289" t="s">
        <v>89</v>
      </c>
      <c r="C5" s="283" t="s">
        <v>87</v>
      </c>
      <c r="D5" s="283" t="s">
        <v>88</v>
      </c>
      <c r="E5" s="285" t="s">
        <v>85</v>
      </c>
      <c r="F5" s="275" t="s">
        <v>169</v>
      </c>
      <c r="G5" s="275" t="s">
        <v>198</v>
      </c>
      <c r="H5" s="277" t="s">
        <v>0</v>
      </c>
      <c r="I5" s="277" t="s">
        <v>225</v>
      </c>
    </row>
    <row r="6" spans="1:11" s="11" customFormat="1" ht="25.5" customHeight="1" x14ac:dyDescent="0.2">
      <c r="A6" s="288"/>
      <c r="B6" s="290"/>
      <c r="C6" s="284"/>
      <c r="D6" s="284"/>
      <c r="E6" s="286"/>
      <c r="F6" s="276"/>
      <c r="G6" s="276"/>
      <c r="H6" s="278"/>
      <c r="I6" s="278"/>
    </row>
    <row r="7" spans="1:11" s="14" customFormat="1" ht="27" customHeight="1" x14ac:dyDescent="0.2">
      <c r="A7" s="12" t="s">
        <v>93</v>
      </c>
      <c r="B7" s="13"/>
      <c r="C7" s="58"/>
      <c r="D7" s="60"/>
      <c r="E7" s="60"/>
      <c r="F7" s="64"/>
      <c r="G7" s="64"/>
      <c r="H7" s="18"/>
      <c r="I7" s="74"/>
    </row>
    <row r="8" spans="1:11" s="14" customFormat="1" ht="19.5" customHeight="1" x14ac:dyDescent="0.2">
      <c r="A8" s="80">
        <v>1131</v>
      </c>
      <c r="B8" s="81" t="s">
        <v>91</v>
      </c>
      <c r="C8" s="123"/>
      <c r="D8" s="123"/>
      <c r="E8" s="123"/>
      <c r="F8" s="124"/>
      <c r="G8" s="124"/>
      <c r="H8" s="125">
        <f>SUM(C8:G8)</f>
        <v>0</v>
      </c>
      <c r="I8" s="153"/>
      <c r="J8" s="77"/>
    </row>
    <row r="9" spans="1:11" s="14" customFormat="1" ht="13.5" customHeight="1" x14ac:dyDescent="0.25">
      <c r="A9" s="80">
        <v>1311</v>
      </c>
      <c r="B9" s="81" t="s">
        <v>2</v>
      </c>
      <c r="C9" s="123"/>
      <c r="D9" s="123"/>
      <c r="E9" s="123"/>
      <c r="F9" s="124"/>
      <c r="G9" s="124"/>
      <c r="H9" s="125">
        <f t="shared" ref="H9:H20" si="0">SUM(C9:G9)</f>
        <v>0</v>
      </c>
      <c r="I9" s="153"/>
      <c r="J9" s="77"/>
      <c r="K9" s="68"/>
    </row>
    <row r="10" spans="1:11" s="14" customFormat="1" ht="15" customHeight="1" x14ac:dyDescent="0.25">
      <c r="A10" s="80">
        <v>1321</v>
      </c>
      <c r="B10" s="81" t="s">
        <v>3</v>
      </c>
      <c r="C10" s="123"/>
      <c r="D10" s="123"/>
      <c r="E10" s="123"/>
      <c r="F10" s="124"/>
      <c r="G10" s="124"/>
      <c r="H10" s="125">
        <f t="shared" si="0"/>
        <v>0</v>
      </c>
      <c r="I10" s="153"/>
      <c r="J10" s="77"/>
      <c r="K10" s="68"/>
    </row>
    <row r="11" spans="1:11" s="14" customFormat="1" ht="21" customHeight="1" x14ac:dyDescent="0.25">
      <c r="A11" s="80">
        <v>1322</v>
      </c>
      <c r="B11" s="81" t="s">
        <v>4</v>
      </c>
      <c r="C11" s="123"/>
      <c r="D11" s="123"/>
      <c r="E11" s="123"/>
      <c r="F11" s="124"/>
      <c r="G11" s="124"/>
      <c r="H11" s="125">
        <f t="shared" si="0"/>
        <v>0</v>
      </c>
      <c r="I11" s="153"/>
      <c r="J11" s="77"/>
      <c r="K11" s="68"/>
    </row>
    <row r="12" spans="1:11" s="14" customFormat="1" ht="16.5" customHeight="1" x14ac:dyDescent="0.25">
      <c r="A12" s="80">
        <v>1343</v>
      </c>
      <c r="B12" s="81" t="s">
        <v>5</v>
      </c>
      <c r="C12" s="123"/>
      <c r="D12" s="123"/>
      <c r="E12" s="123"/>
      <c r="F12" s="124"/>
      <c r="G12" s="124"/>
      <c r="H12" s="125">
        <f t="shared" si="0"/>
        <v>0</v>
      </c>
      <c r="I12" s="153"/>
      <c r="J12" s="77"/>
      <c r="K12" s="68"/>
    </row>
    <row r="13" spans="1:11" s="14" customFormat="1" x14ac:dyDescent="0.25">
      <c r="A13" s="80">
        <v>1411</v>
      </c>
      <c r="B13" s="81" t="s">
        <v>146</v>
      </c>
      <c r="C13" s="123"/>
      <c r="D13" s="123"/>
      <c r="E13" s="123"/>
      <c r="F13" s="124"/>
      <c r="G13" s="124"/>
      <c r="H13" s="125">
        <f t="shared" si="0"/>
        <v>0</v>
      </c>
      <c r="I13" s="153"/>
      <c r="J13" s="77"/>
      <c r="K13" s="68"/>
    </row>
    <row r="14" spans="1:11" s="14" customFormat="1" x14ac:dyDescent="0.25">
      <c r="A14" s="80">
        <v>1421</v>
      </c>
      <c r="B14" s="81" t="s">
        <v>6</v>
      </c>
      <c r="C14" s="123"/>
      <c r="D14" s="123"/>
      <c r="E14" s="123"/>
      <c r="F14" s="124"/>
      <c r="G14" s="124"/>
      <c r="H14" s="125">
        <f t="shared" si="0"/>
        <v>0</v>
      </c>
      <c r="I14" s="153"/>
      <c r="J14" s="77"/>
      <c r="K14" s="68"/>
    </row>
    <row r="15" spans="1:11" s="14" customFormat="1" x14ac:dyDescent="0.25">
      <c r="A15" s="80">
        <v>1431</v>
      </c>
      <c r="B15" s="81" t="s">
        <v>147</v>
      </c>
      <c r="C15" s="123"/>
      <c r="D15" s="123"/>
      <c r="E15" s="123"/>
      <c r="F15" s="124"/>
      <c r="G15" s="124"/>
      <c r="H15" s="125">
        <f t="shared" si="0"/>
        <v>0</v>
      </c>
      <c r="I15" s="153"/>
      <c r="J15" s="77"/>
      <c r="K15" s="68"/>
    </row>
    <row r="16" spans="1:11" s="14" customFormat="1" x14ac:dyDescent="0.25">
      <c r="A16" s="80">
        <v>1432</v>
      </c>
      <c r="B16" s="81" t="s">
        <v>7</v>
      </c>
      <c r="C16" s="123"/>
      <c r="D16" s="123"/>
      <c r="E16" s="123"/>
      <c r="F16" s="124"/>
      <c r="G16" s="124"/>
      <c r="H16" s="125">
        <f t="shared" si="0"/>
        <v>0</v>
      </c>
      <c r="I16" s="153"/>
      <c r="J16" s="77"/>
      <c r="K16" s="68"/>
    </row>
    <row r="17" spans="1:11" s="14" customFormat="1" x14ac:dyDescent="0.25">
      <c r="A17" s="80">
        <v>1543</v>
      </c>
      <c r="B17" s="81" t="s">
        <v>148</v>
      </c>
      <c r="C17" s="123"/>
      <c r="D17" s="123"/>
      <c r="E17" s="123"/>
      <c r="F17" s="124"/>
      <c r="G17" s="124"/>
      <c r="H17" s="125">
        <f t="shared" si="0"/>
        <v>0</v>
      </c>
      <c r="I17" s="153"/>
      <c r="J17" s="77"/>
      <c r="K17" s="68"/>
    </row>
    <row r="18" spans="1:11" s="14" customFormat="1" x14ac:dyDescent="0.25">
      <c r="A18" s="80">
        <v>1712</v>
      </c>
      <c r="B18" s="81" t="s">
        <v>8</v>
      </c>
      <c r="C18" s="123"/>
      <c r="D18" s="123"/>
      <c r="E18" s="123"/>
      <c r="F18" s="124"/>
      <c r="G18" s="124"/>
      <c r="H18" s="125">
        <f t="shared" si="0"/>
        <v>0</v>
      </c>
      <c r="I18" s="153"/>
      <c r="J18" s="77"/>
      <c r="K18" s="68"/>
    </row>
    <row r="19" spans="1:11" s="14" customFormat="1" x14ac:dyDescent="0.25">
      <c r="A19" s="80">
        <v>1715</v>
      </c>
      <c r="B19" s="81" t="s">
        <v>9</v>
      </c>
      <c r="C19" s="123"/>
      <c r="D19" s="123"/>
      <c r="E19" s="123"/>
      <c r="F19" s="124"/>
      <c r="G19" s="124"/>
      <c r="H19" s="125">
        <f t="shared" si="0"/>
        <v>0</v>
      </c>
      <c r="I19" s="153"/>
      <c r="J19" s="77"/>
      <c r="K19" s="68"/>
    </row>
    <row r="20" spans="1:11" s="14" customFormat="1" ht="12.75" x14ac:dyDescent="0.2">
      <c r="A20" s="80">
        <v>1719</v>
      </c>
      <c r="B20" s="81" t="s">
        <v>10</v>
      </c>
      <c r="C20" s="123"/>
      <c r="D20" s="123"/>
      <c r="E20" s="123"/>
      <c r="F20" s="124"/>
      <c r="G20" s="124"/>
      <c r="H20" s="125">
        <f t="shared" si="0"/>
        <v>0</v>
      </c>
      <c r="I20" s="153"/>
      <c r="J20" s="77"/>
    </row>
    <row r="21" spans="1:11" s="14" customFormat="1" ht="23.25" customHeight="1" x14ac:dyDescent="0.2">
      <c r="A21" s="126"/>
      <c r="B21" s="127" t="s">
        <v>109</v>
      </c>
      <c r="C21" s="128">
        <f>SUM(C8:C20)</f>
        <v>0</v>
      </c>
      <c r="D21" s="128">
        <f>SUM(D8:D20)</f>
        <v>0</v>
      </c>
      <c r="E21" s="128">
        <f>SUM(E7:E20)</f>
        <v>0</v>
      </c>
      <c r="F21" s="129">
        <f>SUM(F7:F20)</f>
        <v>0</v>
      </c>
      <c r="G21" s="129">
        <f>SUM(G7:G20)</f>
        <v>0</v>
      </c>
      <c r="H21" s="129">
        <f>SUM(C21:G21)</f>
        <v>0</v>
      </c>
      <c r="I21" s="153"/>
      <c r="J21" s="77"/>
    </row>
    <row r="22" spans="1:11" s="141" customFormat="1" ht="12.75" x14ac:dyDescent="0.2">
      <c r="A22" s="12" t="s">
        <v>11</v>
      </c>
      <c r="B22" s="13"/>
      <c r="C22" s="136"/>
      <c r="D22" s="137"/>
      <c r="E22" s="137"/>
      <c r="F22" s="138"/>
      <c r="G22" s="138"/>
      <c r="H22" s="19"/>
      <c r="I22" s="139"/>
      <c r="J22" s="140"/>
    </row>
    <row r="23" spans="1:11" s="14" customFormat="1" ht="12.75" x14ac:dyDescent="0.2">
      <c r="A23" s="80">
        <v>2111</v>
      </c>
      <c r="B23" s="81" t="s">
        <v>12</v>
      </c>
      <c r="C23" s="123"/>
      <c r="D23" s="123">
        <v>2000</v>
      </c>
      <c r="E23" s="123"/>
      <c r="F23" s="124"/>
      <c r="G23" s="124"/>
      <c r="H23" s="125">
        <f>SUM(C23:G23)</f>
        <v>2000</v>
      </c>
      <c r="I23" s="153" t="s">
        <v>226</v>
      </c>
      <c r="J23" s="77"/>
    </row>
    <row r="24" spans="1:11" s="14" customFormat="1" ht="25.5" x14ac:dyDescent="0.2">
      <c r="A24" s="80">
        <v>2141</v>
      </c>
      <c r="B24" s="81" t="s">
        <v>13</v>
      </c>
      <c r="C24" s="123"/>
      <c r="D24" s="123"/>
      <c r="E24" s="123"/>
      <c r="F24" s="124"/>
      <c r="G24" s="124"/>
      <c r="H24" s="125">
        <f t="shared" ref="H24:H62" si="1">SUM(C24:G24)</f>
        <v>0</v>
      </c>
      <c r="I24" s="153"/>
      <c r="J24" s="77"/>
    </row>
    <row r="25" spans="1:11" s="14" customFormat="1" ht="12.75" x14ac:dyDescent="0.2">
      <c r="A25" s="80">
        <v>2151</v>
      </c>
      <c r="B25" s="81" t="s">
        <v>149</v>
      </c>
      <c r="C25" s="123"/>
      <c r="D25" s="123"/>
      <c r="E25" s="123"/>
      <c r="F25" s="124"/>
      <c r="G25" s="124"/>
      <c r="H25" s="125">
        <f t="shared" si="1"/>
        <v>0</v>
      </c>
      <c r="I25" s="153"/>
      <c r="J25" s="77"/>
    </row>
    <row r="26" spans="1:11" s="14" customFormat="1" ht="12.75" x14ac:dyDescent="0.2">
      <c r="A26" s="80">
        <v>2161</v>
      </c>
      <c r="B26" s="81" t="s">
        <v>14</v>
      </c>
      <c r="C26" s="123"/>
      <c r="D26" s="123"/>
      <c r="E26" s="123"/>
      <c r="F26" s="124"/>
      <c r="G26" s="124"/>
      <c r="H26" s="125">
        <f t="shared" si="1"/>
        <v>0</v>
      </c>
      <c r="I26" s="153"/>
      <c r="J26" s="77"/>
    </row>
    <row r="27" spans="1:11" s="14" customFormat="1" ht="12.75" x14ac:dyDescent="0.2">
      <c r="A27" s="80">
        <v>2171</v>
      </c>
      <c r="B27" s="81" t="s">
        <v>131</v>
      </c>
      <c r="C27" s="123"/>
      <c r="D27" s="123"/>
      <c r="E27" s="123"/>
      <c r="F27" s="124"/>
      <c r="G27" s="124"/>
      <c r="H27" s="125">
        <f t="shared" si="1"/>
        <v>0</v>
      </c>
      <c r="I27" s="153"/>
      <c r="J27" s="77"/>
    </row>
    <row r="28" spans="1:11" s="14" customFormat="1" ht="38.25" x14ac:dyDescent="0.2">
      <c r="A28" s="80">
        <v>2212</v>
      </c>
      <c r="B28" s="81" t="s">
        <v>132</v>
      </c>
      <c r="C28" s="123"/>
      <c r="D28" s="123"/>
      <c r="E28" s="123"/>
      <c r="F28" s="124"/>
      <c r="G28" s="124"/>
      <c r="H28" s="125">
        <f t="shared" si="1"/>
        <v>0</v>
      </c>
      <c r="I28" s="153"/>
      <c r="J28" s="77"/>
    </row>
    <row r="29" spans="1:11" s="14" customFormat="1" ht="12.75" x14ac:dyDescent="0.2">
      <c r="A29" s="80">
        <v>2221</v>
      </c>
      <c r="B29" s="81" t="s">
        <v>150</v>
      </c>
      <c r="C29" s="123"/>
      <c r="D29" s="123"/>
      <c r="E29" s="123"/>
      <c r="F29" s="124"/>
      <c r="G29" s="124"/>
      <c r="H29" s="125">
        <f t="shared" si="1"/>
        <v>0</v>
      </c>
      <c r="I29" s="153"/>
      <c r="J29" s="77"/>
    </row>
    <row r="30" spans="1:11" s="14" customFormat="1" ht="12.75" x14ac:dyDescent="0.2">
      <c r="A30" s="80">
        <v>2231</v>
      </c>
      <c r="B30" s="81" t="s">
        <v>15</v>
      </c>
      <c r="C30" s="123"/>
      <c r="D30" s="123"/>
      <c r="E30" s="123"/>
      <c r="F30" s="124"/>
      <c r="G30" s="124"/>
      <c r="H30" s="125">
        <f t="shared" si="1"/>
        <v>0</v>
      </c>
      <c r="I30" s="153"/>
      <c r="J30" s="77"/>
    </row>
    <row r="31" spans="1:11" s="14" customFormat="1" ht="25.5" x14ac:dyDescent="0.2">
      <c r="A31" s="80">
        <v>2311</v>
      </c>
      <c r="B31" s="81" t="s">
        <v>151</v>
      </c>
      <c r="C31" s="123"/>
      <c r="D31" s="123">
        <v>3000</v>
      </c>
      <c r="E31" s="123"/>
      <c r="F31" s="124"/>
      <c r="G31" s="124"/>
      <c r="H31" s="125">
        <f t="shared" si="1"/>
        <v>3000</v>
      </c>
      <c r="I31" s="153" t="s">
        <v>227</v>
      </c>
      <c r="J31" s="77"/>
    </row>
    <row r="32" spans="1:11" s="14" customFormat="1" ht="12.75" x14ac:dyDescent="0.2">
      <c r="A32" s="80">
        <v>2411</v>
      </c>
      <c r="B32" s="81" t="s">
        <v>16</v>
      </c>
      <c r="C32" s="123"/>
      <c r="D32" s="123"/>
      <c r="E32" s="123"/>
      <c r="F32" s="124"/>
      <c r="G32" s="124"/>
      <c r="H32" s="125">
        <f t="shared" si="1"/>
        <v>0</v>
      </c>
      <c r="I32" s="153"/>
      <c r="J32" s="77"/>
    </row>
    <row r="33" spans="1:10" s="14" customFormat="1" ht="12.75" x14ac:dyDescent="0.2">
      <c r="A33" s="80">
        <v>2421</v>
      </c>
      <c r="B33" s="81" t="s">
        <v>17</v>
      </c>
      <c r="C33" s="123"/>
      <c r="D33" s="123"/>
      <c r="E33" s="123"/>
      <c r="F33" s="124"/>
      <c r="G33" s="124"/>
      <c r="H33" s="125">
        <f t="shared" si="1"/>
        <v>0</v>
      </c>
      <c r="I33" s="153"/>
      <c r="J33" s="77"/>
    </row>
    <row r="34" spans="1:10" s="14" customFormat="1" ht="12.75" x14ac:dyDescent="0.2">
      <c r="A34" s="80">
        <v>2431</v>
      </c>
      <c r="B34" s="81" t="s">
        <v>152</v>
      </c>
      <c r="C34" s="123"/>
      <c r="D34" s="123"/>
      <c r="E34" s="123"/>
      <c r="F34" s="124"/>
      <c r="G34" s="124"/>
      <c r="H34" s="125">
        <f t="shared" si="1"/>
        <v>0</v>
      </c>
      <c r="I34" s="153"/>
      <c r="J34" s="77"/>
    </row>
    <row r="35" spans="1:10" s="14" customFormat="1" ht="12.75" x14ac:dyDescent="0.2">
      <c r="A35" s="80">
        <v>2441</v>
      </c>
      <c r="B35" s="81" t="s">
        <v>18</v>
      </c>
      <c r="C35" s="123"/>
      <c r="D35" s="123"/>
      <c r="E35" s="123"/>
      <c r="F35" s="124"/>
      <c r="G35" s="124"/>
      <c r="H35" s="125">
        <f t="shared" si="1"/>
        <v>0</v>
      </c>
      <c r="I35" s="153"/>
      <c r="J35" s="77"/>
    </row>
    <row r="36" spans="1:10" s="14" customFormat="1" ht="12.75" x14ac:dyDescent="0.2">
      <c r="A36" s="80">
        <v>2451</v>
      </c>
      <c r="B36" s="81" t="s">
        <v>19</v>
      </c>
      <c r="C36" s="123"/>
      <c r="D36" s="123"/>
      <c r="E36" s="123"/>
      <c r="F36" s="124"/>
      <c r="G36" s="124"/>
      <c r="H36" s="125">
        <f t="shared" si="1"/>
        <v>0</v>
      </c>
      <c r="I36" s="153"/>
      <c r="J36" s="77"/>
    </row>
    <row r="37" spans="1:10" s="14" customFormat="1" ht="12.75" x14ac:dyDescent="0.2">
      <c r="A37" s="80">
        <v>2461</v>
      </c>
      <c r="B37" s="81" t="s">
        <v>20</v>
      </c>
      <c r="C37" s="123"/>
      <c r="D37" s="123"/>
      <c r="E37" s="123"/>
      <c r="F37" s="124">
        <v>25000</v>
      </c>
      <c r="G37" s="124"/>
      <c r="H37" s="125">
        <f t="shared" si="1"/>
        <v>25000</v>
      </c>
      <c r="I37" s="153" t="s">
        <v>227</v>
      </c>
      <c r="J37" s="77"/>
    </row>
    <row r="38" spans="1:10" s="14" customFormat="1" ht="12.75" x14ac:dyDescent="0.2">
      <c r="A38" s="80">
        <v>2471</v>
      </c>
      <c r="B38" s="81" t="s">
        <v>21</v>
      </c>
      <c r="C38" s="123"/>
      <c r="D38" s="123"/>
      <c r="E38" s="123"/>
      <c r="F38" s="124">
        <v>25000</v>
      </c>
      <c r="G38" s="124"/>
      <c r="H38" s="125">
        <f>SUM(C38:G38)</f>
        <v>25000</v>
      </c>
      <c r="I38" s="153" t="s">
        <v>227</v>
      </c>
      <c r="J38" s="77"/>
    </row>
    <row r="39" spans="1:10" s="14" customFormat="1" ht="12.75" x14ac:dyDescent="0.2">
      <c r="A39" s="80">
        <v>2481</v>
      </c>
      <c r="B39" s="81" t="s">
        <v>22</v>
      </c>
      <c r="C39" s="123"/>
      <c r="D39" s="123"/>
      <c r="E39" s="123"/>
      <c r="F39" s="124"/>
      <c r="G39" s="124"/>
      <c r="H39" s="125">
        <f t="shared" si="1"/>
        <v>0</v>
      </c>
      <c r="I39" s="153"/>
      <c r="J39" s="77"/>
    </row>
    <row r="40" spans="1:10" s="14" customFormat="1" ht="12.75" x14ac:dyDescent="0.2">
      <c r="A40" s="80">
        <v>2491</v>
      </c>
      <c r="B40" s="81" t="s">
        <v>23</v>
      </c>
      <c r="C40" s="123"/>
      <c r="D40" s="123"/>
      <c r="E40" s="123"/>
      <c r="F40" s="124"/>
      <c r="G40" s="124"/>
      <c r="H40" s="125">
        <f t="shared" si="1"/>
        <v>0</v>
      </c>
      <c r="I40" s="153"/>
      <c r="J40" s="77"/>
    </row>
    <row r="41" spans="1:10" s="14" customFormat="1" ht="12.75" x14ac:dyDescent="0.2">
      <c r="A41" s="80">
        <v>2511</v>
      </c>
      <c r="B41" s="81" t="s">
        <v>153</v>
      </c>
      <c r="C41" s="123"/>
      <c r="D41" s="123"/>
      <c r="E41" s="123"/>
      <c r="F41" s="124">
        <v>45000</v>
      </c>
      <c r="G41" s="124"/>
      <c r="H41" s="125">
        <f t="shared" si="1"/>
        <v>45000</v>
      </c>
      <c r="I41" s="153" t="s">
        <v>228</v>
      </c>
      <c r="J41" s="77"/>
    </row>
    <row r="42" spans="1:10" s="14" customFormat="1" ht="12.75" x14ac:dyDescent="0.2">
      <c r="A42" s="80">
        <v>2521</v>
      </c>
      <c r="B42" s="81" t="s">
        <v>24</v>
      </c>
      <c r="C42" s="123"/>
      <c r="D42" s="123">
        <v>0</v>
      </c>
      <c r="E42" s="123"/>
      <c r="F42" s="131"/>
      <c r="G42" s="131"/>
      <c r="H42" s="125">
        <f t="shared" si="1"/>
        <v>0</v>
      </c>
      <c r="I42" s="153"/>
      <c r="J42" s="77"/>
    </row>
    <row r="43" spans="1:10" s="14" customFormat="1" ht="12.75" x14ac:dyDescent="0.2">
      <c r="A43" s="80">
        <v>2531</v>
      </c>
      <c r="B43" s="81" t="s">
        <v>25</v>
      </c>
      <c r="C43" s="123"/>
      <c r="D43" s="123"/>
      <c r="E43" s="123"/>
      <c r="F43" s="131"/>
      <c r="G43" s="131"/>
      <c r="H43" s="125">
        <f t="shared" si="1"/>
        <v>0</v>
      </c>
      <c r="I43" s="153"/>
      <c r="J43" s="77"/>
    </row>
    <row r="44" spans="1:10" s="14" customFormat="1" ht="12.75" x14ac:dyDescent="0.2">
      <c r="A44" s="80">
        <v>2541</v>
      </c>
      <c r="B44" s="81" t="s">
        <v>26</v>
      </c>
      <c r="C44" s="123"/>
      <c r="D44" s="123"/>
      <c r="E44" s="123"/>
      <c r="F44" s="124"/>
      <c r="G44" s="124"/>
      <c r="H44" s="125">
        <f t="shared" si="1"/>
        <v>0</v>
      </c>
      <c r="I44" s="153"/>
      <c r="J44" s="77"/>
    </row>
    <row r="45" spans="1:10" s="14" customFormat="1" ht="12.75" x14ac:dyDescent="0.2">
      <c r="A45" s="80">
        <v>2551</v>
      </c>
      <c r="B45" s="81" t="s">
        <v>27</v>
      </c>
      <c r="C45" s="123"/>
      <c r="D45" s="123">
        <v>20000</v>
      </c>
      <c r="E45" s="123"/>
      <c r="F45" s="124"/>
      <c r="G45" s="124"/>
      <c r="H45" s="125">
        <f t="shared" si="1"/>
        <v>20000</v>
      </c>
      <c r="I45" s="153" t="s">
        <v>228</v>
      </c>
      <c r="J45" s="77"/>
    </row>
    <row r="46" spans="1:10" s="14" customFormat="1" ht="12.75" x14ac:dyDescent="0.2">
      <c r="A46" s="80">
        <v>2561</v>
      </c>
      <c r="B46" s="81" t="s">
        <v>154</v>
      </c>
      <c r="C46" s="123"/>
      <c r="D46" s="123"/>
      <c r="E46" s="123"/>
      <c r="F46" s="124">
        <v>10000</v>
      </c>
      <c r="G46" s="124"/>
      <c r="H46" s="125">
        <f t="shared" si="1"/>
        <v>10000</v>
      </c>
      <c r="I46" s="153" t="s">
        <v>227</v>
      </c>
      <c r="J46" s="77"/>
    </row>
    <row r="47" spans="1:10" s="14" customFormat="1" ht="12.75" x14ac:dyDescent="0.2">
      <c r="A47" s="80">
        <v>2591</v>
      </c>
      <c r="B47" s="81" t="s">
        <v>155</v>
      </c>
      <c r="C47" s="123"/>
      <c r="D47" s="123">
        <v>10000</v>
      </c>
      <c r="E47" s="123"/>
      <c r="F47" s="124"/>
      <c r="G47" s="124"/>
      <c r="H47" s="125">
        <f t="shared" si="1"/>
        <v>10000</v>
      </c>
      <c r="I47" s="153" t="s">
        <v>228</v>
      </c>
      <c r="J47" s="77"/>
    </row>
    <row r="48" spans="1:10" s="14" customFormat="1" ht="12.75" x14ac:dyDescent="0.2">
      <c r="A48" s="80">
        <v>2611</v>
      </c>
      <c r="B48" s="81" t="s">
        <v>133</v>
      </c>
      <c r="C48" s="123"/>
      <c r="D48" s="123"/>
      <c r="E48" s="123"/>
      <c r="F48" s="124"/>
      <c r="G48" s="124"/>
      <c r="H48" s="125">
        <f t="shared" si="1"/>
        <v>0</v>
      </c>
      <c r="I48" s="153"/>
      <c r="J48" s="77"/>
    </row>
    <row r="49" spans="1:10" s="14" customFormat="1" ht="12.75" x14ac:dyDescent="0.2">
      <c r="A49" s="80">
        <v>2614</v>
      </c>
      <c r="B49" s="79" t="s">
        <v>140</v>
      </c>
      <c r="C49" s="123"/>
      <c r="D49" s="123"/>
      <c r="E49" s="123"/>
      <c r="F49" s="124"/>
      <c r="G49" s="124"/>
      <c r="H49" s="125">
        <f t="shared" si="1"/>
        <v>0</v>
      </c>
      <c r="I49" s="153"/>
      <c r="J49" s="77"/>
    </row>
    <row r="50" spans="1:10" s="14" customFormat="1" ht="12.75" x14ac:dyDescent="0.2">
      <c r="A50" s="80">
        <v>2711</v>
      </c>
      <c r="B50" s="81" t="s">
        <v>141</v>
      </c>
      <c r="C50" s="123"/>
      <c r="D50" s="123"/>
      <c r="E50" s="123"/>
      <c r="F50" s="124"/>
      <c r="G50" s="124"/>
      <c r="H50" s="125">
        <f t="shared" si="1"/>
        <v>0</v>
      </c>
      <c r="I50" s="153"/>
      <c r="J50" s="77"/>
    </row>
    <row r="51" spans="1:10" s="14" customFormat="1" ht="12.75" x14ac:dyDescent="0.2">
      <c r="A51" s="80">
        <v>2721</v>
      </c>
      <c r="B51" s="81" t="s">
        <v>28</v>
      </c>
      <c r="C51" s="123"/>
      <c r="D51" s="123"/>
      <c r="E51" s="123"/>
      <c r="F51" s="124"/>
      <c r="G51" s="124"/>
      <c r="H51" s="125">
        <f t="shared" si="1"/>
        <v>0</v>
      </c>
      <c r="I51" s="153"/>
      <c r="J51" s="77"/>
    </row>
    <row r="52" spans="1:10" s="14" customFormat="1" ht="12.75" x14ac:dyDescent="0.2">
      <c r="A52" s="80">
        <v>2731</v>
      </c>
      <c r="B52" s="81" t="s">
        <v>29</v>
      </c>
      <c r="C52" s="123"/>
      <c r="D52" s="123"/>
      <c r="E52" s="123"/>
      <c r="F52" s="124"/>
      <c r="G52" s="124"/>
      <c r="H52" s="125">
        <f t="shared" si="1"/>
        <v>0</v>
      </c>
      <c r="I52" s="153"/>
      <c r="J52" s="77"/>
    </row>
    <row r="53" spans="1:10" s="14" customFormat="1" ht="12.75" x14ac:dyDescent="0.2">
      <c r="A53" s="80">
        <v>2741</v>
      </c>
      <c r="B53" s="81" t="s">
        <v>170</v>
      </c>
      <c r="C53" s="123"/>
      <c r="D53" s="123"/>
      <c r="E53" s="123"/>
      <c r="F53" s="124"/>
      <c r="G53" s="124"/>
      <c r="H53" s="125">
        <f t="shared" si="1"/>
        <v>0</v>
      </c>
      <c r="I53" s="153"/>
      <c r="J53" s="77"/>
    </row>
    <row r="54" spans="1:10" s="14" customFormat="1" ht="12.75" x14ac:dyDescent="0.2">
      <c r="A54" s="80">
        <v>2751</v>
      </c>
      <c r="B54" s="81" t="s">
        <v>156</v>
      </c>
      <c r="C54" s="123"/>
      <c r="D54" s="123"/>
      <c r="E54" s="123"/>
      <c r="F54" s="124"/>
      <c r="G54" s="124"/>
      <c r="H54" s="125">
        <f>SUM(C54:G54)</f>
        <v>0</v>
      </c>
      <c r="I54" s="153"/>
      <c r="J54" s="77"/>
    </row>
    <row r="55" spans="1:10" s="14" customFormat="1" ht="12.75" x14ac:dyDescent="0.2">
      <c r="A55" s="80">
        <v>2911</v>
      </c>
      <c r="B55" s="81" t="s">
        <v>30</v>
      </c>
      <c r="C55" s="123"/>
      <c r="D55" s="123"/>
      <c r="E55" s="123"/>
      <c r="F55" s="124"/>
      <c r="G55" s="124"/>
      <c r="H55" s="125">
        <f t="shared" si="1"/>
        <v>0</v>
      </c>
      <c r="I55" s="153"/>
      <c r="J55" s="77"/>
    </row>
    <row r="56" spans="1:10" s="14" customFormat="1" ht="12.75" x14ac:dyDescent="0.2">
      <c r="A56" s="80">
        <v>2921</v>
      </c>
      <c r="B56" s="81" t="s">
        <v>31</v>
      </c>
      <c r="C56" s="123"/>
      <c r="D56" s="123"/>
      <c r="E56" s="123"/>
      <c r="F56" s="124"/>
      <c r="G56" s="124"/>
      <c r="H56" s="125">
        <f t="shared" si="1"/>
        <v>0</v>
      </c>
      <c r="I56" s="153"/>
      <c r="J56" s="77"/>
    </row>
    <row r="57" spans="1:10" s="14" customFormat="1" ht="25.5" x14ac:dyDescent="0.2">
      <c r="A57" s="80">
        <v>2931</v>
      </c>
      <c r="B57" s="81" t="s">
        <v>32</v>
      </c>
      <c r="C57" s="123"/>
      <c r="D57" s="123"/>
      <c r="E57" s="123"/>
      <c r="F57" s="124"/>
      <c r="G57" s="124"/>
      <c r="H57" s="125">
        <f t="shared" si="1"/>
        <v>0</v>
      </c>
      <c r="I57" s="153"/>
      <c r="J57" s="77"/>
    </row>
    <row r="58" spans="1:10" s="14" customFormat="1" ht="25.5" x14ac:dyDescent="0.2">
      <c r="A58" s="80">
        <v>2941</v>
      </c>
      <c r="B58" s="81" t="s">
        <v>33</v>
      </c>
      <c r="C58" s="123"/>
      <c r="D58" s="123"/>
      <c r="E58" s="123"/>
      <c r="F58" s="124"/>
      <c r="G58" s="124"/>
      <c r="H58" s="125">
        <f t="shared" si="1"/>
        <v>0</v>
      </c>
      <c r="I58" s="153"/>
      <c r="J58" s="77"/>
    </row>
    <row r="59" spans="1:10" s="14" customFormat="1" ht="25.5" x14ac:dyDescent="0.2">
      <c r="A59" s="80">
        <v>2951</v>
      </c>
      <c r="B59" s="81" t="s">
        <v>34</v>
      </c>
      <c r="C59" s="123"/>
      <c r="D59" s="123"/>
      <c r="E59" s="123"/>
      <c r="F59" s="124"/>
      <c r="G59" s="124"/>
      <c r="H59" s="125">
        <f>SUM(C59:G59)</f>
        <v>0</v>
      </c>
      <c r="I59" s="153"/>
      <c r="J59" s="77"/>
    </row>
    <row r="60" spans="1:10" s="14" customFormat="1" ht="12.75" x14ac:dyDescent="0.2">
      <c r="A60" s="80">
        <v>2961</v>
      </c>
      <c r="B60" s="81" t="s">
        <v>35</v>
      </c>
      <c r="C60" s="123"/>
      <c r="D60" s="123"/>
      <c r="E60" s="123"/>
      <c r="F60" s="124"/>
      <c r="G60" s="124"/>
      <c r="H60" s="125">
        <f t="shared" si="1"/>
        <v>0</v>
      </c>
      <c r="I60" s="153"/>
      <c r="J60" s="77"/>
    </row>
    <row r="61" spans="1:10" s="14" customFormat="1" ht="12.75" x14ac:dyDescent="0.2">
      <c r="A61" s="80">
        <v>2981</v>
      </c>
      <c r="B61" s="81" t="s">
        <v>36</v>
      </c>
      <c r="C61" s="123"/>
      <c r="D61" s="123"/>
      <c r="E61" s="123"/>
      <c r="F61" s="124"/>
      <c r="G61" s="124"/>
      <c r="H61" s="125">
        <f t="shared" si="1"/>
        <v>0</v>
      </c>
      <c r="I61" s="153"/>
      <c r="J61" s="77"/>
    </row>
    <row r="62" spans="1:10" s="14" customFormat="1" ht="12.75" x14ac:dyDescent="0.2">
      <c r="A62" s="80">
        <v>2991</v>
      </c>
      <c r="B62" s="81" t="s">
        <v>157</v>
      </c>
      <c r="C62" s="123"/>
      <c r="D62" s="123"/>
      <c r="E62" s="123"/>
      <c r="F62" s="124"/>
      <c r="G62" s="124"/>
      <c r="H62" s="125">
        <f t="shared" si="1"/>
        <v>0</v>
      </c>
      <c r="I62" s="153"/>
      <c r="J62" s="77"/>
    </row>
    <row r="63" spans="1:10" s="14" customFormat="1" ht="27" customHeight="1" x14ac:dyDescent="0.2">
      <c r="A63" s="22"/>
      <c r="B63" s="20" t="s">
        <v>110</v>
      </c>
      <c r="C63" s="128">
        <f>SUM(C23:C62)</f>
        <v>0</v>
      </c>
      <c r="D63" s="128">
        <f>SUM(D23:D62)</f>
        <v>35000</v>
      </c>
      <c r="E63" s="128">
        <f>SUM(E23:E62)</f>
        <v>0</v>
      </c>
      <c r="F63" s="128">
        <f t="shared" ref="F63:G63" si="2">SUM(F23:F62)</f>
        <v>105000</v>
      </c>
      <c r="G63" s="128">
        <f t="shared" si="2"/>
        <v>0</v>
      </c>
      <c r="H63" s="128">
        <f>SUM(C63:G63)</f>
        <v>140000</v>
      </c>
      <c r="I63" s="153"/>
      <c r="J63" s="77"/>
    </row>
    <row r="64" spans="1:10" s="23" customFormat="1" ht="12.75" x14ac:dyDescent="0.2">
      <c r="A64" s="12" t="s">
        <v>37</v>
      </c>
      <c r="B64" s="13"/>
      <c r="C64" s="58"/>
      <c r="D64" s="60"/>
      <c r="E64" s="60"/>
      <c r="F64" s="64"/>
      <c r="G64" s="64"/>
      <c r="H64" s="18"/>
      <c r="I64" s="75"/>
      <c r="J64" s="77"/>
    </row>
    <row r="65" spans="1:10" s="14" customFormat="1" ht="12.75" x14ac:dyDescent="0.2">
      <c r="A65" s="80">
        <v>3111</v>
      </c>
      <c r="B65" s="81" t="s">
        <v>38</v>
      </c>
      <c r="C65" s="123"/>
      <c r="D65" s="123"/>
      <c r="E65" s="123"/>
      <c r="F65" s="124"/>
      <c r="G65" s="124"/>
      <c r="H65" s="154">
        <f>SUM(C65:G65)</f>
        <v>0</v>
      </c>
      <c r="I65" s="153"/>
      <c r="J65" s="77"/>
    </row>
    <row r="66" spans="1:10" s="14" customFormat="1" ht="12.75" x14ac:dyDescent="0.2">
      <c r="A66" s="80">
        <v>3121</v>
      </c>
      <c r="B66" s="81" t="s">
        <v>158</v>
      </c>
      <c r="C66" s="123"/>
      <c r="D66" s="123"/>
      <c r="E66" s="123"/>
      <c r="F66" s="124"/>
      <c r="G66" s="124"/>
      <c r="H66" s="154">
        <f t="shared" ref="H66:H108" si="3">SUM(C66:G66)</f>
        <v>0</v>
      </c>
      <c r="I66" s="153"/>
      <c r="J66" s="77"/>
    </row>
    <row r="67" spans="1:10" s="14" customFormat="1" ht="12.75" x14ac:dyDescent="0.2">
      <c r="A67" s="80">
        <v>3141</v>
      </c>
      <c r="B67" s="81" t="s">
        <v>39</v>
      </c>
      <c r="C67" s="123"/>
      <c r="D67" s="123"/>
      <c r="E67" s="123"/>
      <c r="F67" s="124"/>
      <c r="G67" s="124"/>
      <c r="H67" s="154">
        <f t="shared" si="3"/>
        <v>0</v>
      </c>
      <c r="I67" s="153"/>
      <c r="J67" s="77"/>
    </row>
    <row r="68" spans="1:10" s="14" customFormat="1" ht="12.75" x14ac:dyDescent="0.2">
      <c r="A68" s="80">
        <v>3171</v>
      </c>
      <c r="B68" s="81" t="s">
        <v>40</v>
      </c>
      <c r="C68" s="123"/>
      <c r="D68" s="123"/>
      <c r="E68" s="123"/>
      <c r="F68" s="131"/>
      <c r="G68" s="131"/>
      <c r="H68" s="154">
        <f t="shared" si="3"/>
        <v>0</v>
      </c>
      <c r="I68" s="153"/>
      <c r="J68" s="77"/>
    </row>
    <row r="69" spans="1:10" s="14" customFormat="1" ht="12.75" x14ac:dyDescent="0.2">
      <c r="A69" s="80">
        <v>3181</v>
      </c>
      <c r="B69" s="81" t="s">
        <v>41</v>
      </c>
      <c r="C69" s="123"/>
      <c r="D69" s="123"/>
      <c r="E69" s="123"/>
      <c r="F69" s="131"/>
      <c r="G69" s="131"/>
      <c r="H69" s="154">
        <f t="shared" si="3"/>
        <v>0</v>
      </c>
      <c r="I69" s="153"/>
      <c r="J69" s="77"/>
    </row>
    <row r="70" spans="1:10" s="14" customFormat="1" ht="12.75" x14ac:dyDescent="0.2">
      <c r="A70" s="80">
        <v>3221</v>
      </c>
      <c r="B70" s="81" t="s">
        <v>159</v>
      </c>
      <c r="C70" s="123"/>
      <c r="D70" s="123"/>
      <c r="E70" s="123"/>
      <c r="F70" s="131"/>
      <c r="G70" s="131"/>
      <c r="H70" s="154">
        <f t="shared" si="3"/>
        <v>0</v>
      </c>
      <c r="I70" s="153"/>
      <c r="J70" s="77"/>
    </row>
    <row r="71" spans="1:10" s="14" customFormat="1" ht="12.75" x14ac:dyDescent="0.2">
      <c r="A71" s="80">
        <v>3261</v>
      </c>
      <c r="B71" s="81" t="s">
        <v>42</v>
      </c>
      <c r="C71" s="123"/>
      <c r="D71" s="123"/>
      <c r="E71" s="123"/>
      <c r="F71" s="131">
        <v>5000</v>
      </c>
      <c r="G71" s="131"/>
      <c r="H71" s="154">
        <f t="shared" si="3"/>
        <v>5000</v>
      </c>
      <c r="I71" s="153" t="s">
        <v>227</v>
      </c>
      <c r="J71" s="77"/>
    </row>
    <row r="72" spans="1:10" s="14" customFormat="1" ht="12.75" x14ac:dyDescent="0.2">
      <c r="A72" s="80">
        <v>3291</v>
      </c>
      <c r="B72" s="81" t="s">
        <v>160</v>
      </c>
      <c r="C72" s="123"/>
      <c r="D72" s="123"/>
      <c r="E72" s="123"/>
      <c r="F72" s="131"/>
      <c r="G72" s="131"/>
      <c r="H72" s="154">
        <f t="shared" si="3"/>
        <v>0</v>
      </c>
      <c r="I72" s="153"/>
      <c r="J72" s="77"/>
    </row>
    <row r="73" spans="1:10" s="14" customFormat="1" ht="12.75" x14ac:dyDescent="0.2">
      <c r="A73" s="80">
        <v>3311</v>
      </c>
      <c r="B73" s="81" t="s">
        <v>43</v>
      </c>
      <c r="C73" s="123"/>
      <c r="D73" s="123"/>
      <c r="E73" s="123"/>
      <c r="F73" s="131"/>
      <c r="G73" s="131"/>
      <c r="H73" s="154">
        <f t="shared" si="3"/>
        <v>0</v>
      </c>
      <c r="I73" s="153"/>
      <c r="J73" s="77"/>
    </row>
    <row r="74" spans="1:10" s="14" customFormat="1" ht="12.75" x14ac:dyDescent="0.2">
      <c r="A74" s="80">
        <v>3321</v>
      </c>
      <c r="B74" s="81" t="s">
        <v>161</v>
      </c>
      <c r="C74" s="123"/>
      <c r="D74" s="123"/>
      <c r="E74" s="123"/>
      <c r="F74" s="131"/>
      <c r="G74" s="131"/>
      <c r="H74" s="154">
        <f t="shared" si="3"/>
        <v>0</v>
      </c>
      <c r="I74" s="153"/>
      <c r="J74" s="77"/>
    </row>
    <row r="75" spans="1:10" s="14" customFormat="1" ht="12.75" x14ac:dyDescent="0.2">
      <c r="A75" s="80">
        <v>3331</v>
      </c>
      <c r="B75" s="81" t="s">
        <v>162</v>
      </c>
      <c r="C75" s="123"/>
      <c r="D75" s="123"/>
      <c r="E75" s="123"/>
      <c r="F75" s="131"/>
      <c r="G75" s="131"/>
      <c r="H75" s="154">
        <f t="shared" si="3"/>
        <v>0</v>
      </c>
      <c r="I75" s="153"/>
      <c r="J75" s="77"/>
    </row>
    <row r="76" spans="1:10" s="14" customFormat="1" ht="12.75" x14ac:dyDescent="0.2">
      <c r="A76" s="80">
        <v>3341</v>
      </c>
      <c r="B76" s="81" t="s">
        <v>44</v>
      </c>
      <c r="C76" s="123"/>
      <c r="D76" s="123"/>
      <c r="E76" s="123"/>
      <c r="F76" s="124"/>
      <c r="G76" s="124"/>
      <c r="H76" s="154">
        <f t="shared" si="3"/>
        <v>0</v>
      </c>
      <c r="I76" s="153"/>
      <c r="J76" s="77"/>
    </row>
    <row r="77" spans="1:10" s="14" customFormat="1" ht="12.75" x14ac:dyDescent="0.2">
      <c r="A77" s="80">
        <v>3342</v>
      </c>
      <c r="B77" s="81" t="s">
        <v>45</v>
      </c>
      <c r="C77" s="123"/>
      <c r="D77" s="123"/>
      <c r="E77" s="123"/>
      <c r="F77" s="124"/>
      <c r="G77" s="124"/>
      <c r="H77" s="154">
        <f t="shared" si="3"/>
        <v>0</v>
      </c>
      <c r="I77" s="153"/>
      <c r="J77" s="77"/>
    </row>
    <row r="78" spans="1:10" s="14" customFormat="1" ht="12.75" x14ac:dyDescent="0.2">
      <c r="A78" s="80">
        <v>3361</v>
      </c>
      <c r="B78" s="81" t="s">
        <v>46</v>
      </c>
      <c r="C78" s="123"/>
      <c r="D78" s="123"/>
      <c r="E78" s="123"/>
      <c r="F78" s="124"/>
      <c r="G78" s="124"/>
      <c r="H78" s="154">
        <f t="shared" si="3"/>
        <v>0</v>
      </c>
      <c r="I78" s="153"/>
      <c r="J78" s="77"/>
    </row>
    <row r="79" spans="1:10" s="14" customFormat="1" ht="12.75" x14ac:dyDescent="0.2">
      <c r="A79" s="80">
        <v>3362</v>
      </c>
      <c r="B79" s="81" t="s">
        <v>47</v>
      </c>
      <c r="C79" s="123"/>
      <c r="D79" s="123"/>
      <c r="E79" s="123"/>
      <c r="F79" s="124"/>
      <c r="G79" s="124"/>
      <c r="H79" s="154">
        <f t="shared" si="3"/>
        <v>0</v>
      </c>
      <c r="I79" s="153"/>
      <c r="J79" s="77"/>
    </row>
    <row r="80" spans="1:10" s="14" customFormat="1" ht="25.5" x14ac:dyDescent="0.2">
      <c r="A80" s="80">
        <v>3363</v>
      </c>
      <c r="B80" s="81" t="s">
        <v>134</v>
      </c>
      <c r="C80" s="123"/>
      <c r="D80" s="123"/>
      <c r="E80" s="123"/>
      <c r="F80" s="124"/>
      <c r="G80" s="124"/>
      <c r="H80" s="154">
        <f t="shared" si="3"/>
        <v>0</v>
      </c>
      <c r="I80" s="153"/>
      <c r="J80" s="77"/>
    </row>
    <row r="81" spans="1:10" s="14" customFormat="1" ht="25.5" x14ac:dyDescent="0.2">
      <c r="A81" s="80">
        <v>3365</v>
      </c>
      <c r="B81" s="81" t="s">
        <v>135</v>
      </c>
      <c r="C81" s="123"/>
      <c r="D81" s="123"/>
      <c r="E81" s="123"/>
      <c r="F81" s="124"/>
      <c r="G81" s="124"/>
      <c r="H81" s="154">
        <f t="shared" si="3"/>
        <v>0</v>
      </c>
      <c r="I81" s="153"/>
      <c r="J81" s="77"/>
    </row>
    <row r="82" spans="1:10" s="14" customFormat="1" ht="12.75" x14ac:dyDescent="0.2">
      <c r="A82" s="80">
        <v>3366</v>
      </c>
      <c r="B82" s="81" t="s">
        <v>163</v>
      </c>
      <c r="C82" s="123"/>
      <c r="D82" s="123"/>
      <c r="E82" s="123"/>
      <c r="F82" s="124"/>
      <c r="G82" s="124"/>
      <c r="H82" s="154">
        <f t="shared" si="3"/>
        <v>0</v>
      </c>
      <c r="I82" s="153"/>
      <c r="J82" s="77"/>
    </row>
    <row r="83" spans="1:10" s="14" customFormat="1" ht="12.75" x14ac:dyDescent="0.2">
      <c r="A83" s="80">
        <v>3381</v>
      </c>
      <c r="B83" s="81" t="s">
        <v>48</v>
      </c>
      <c r="C83" s="123"/>
      <c r="D83" s="123"/>
      <c r="E83" s="123"/>
      <c r="F83" s="124"/>
      <c r="G83" s="124"/>
      <c r="H83" s="154">
        <f t="shared" si="3"/>
        <v>0</v>
      </c>
      <c r="I83" s="153"/>
      <c r="J83" s="77"/>
    </row>
    <row r="84" spans="1:10" s="14" customFormat="1" ht="12.75" x14ac:dyDescent="0.2">
      <c r="A84" s="80">
        <v>3391</v>
      </c>
      <c r="B84" s="81" t="s">
        <v>49</v>
      </c>
      <c r="C84" s="123"/>
      <c r="D84" s="123"/>
      <c r="E84" s="123"/>
      <c r="F84" s="124"/>
      <c r="G84" s="124"/>
      <c r="H84" s="154">
        <f t="shared" si="3"/>
        <v>0</v>
      </c>
      <c r="I84" s="153"/>
      <c r="J84" s="77"/>
    </row>
    <row r="85" spans="1:10" s="14" customFormat="1" ht="12.75" x14ac:dyDescent="0.2">
      <c r="A85" s="80">
        <v>3411</v>
      </c>
      <c r="B85" s="81" t="s">
        <v>50</v>
      </c>
      <c r="C85" s="123"/>
      <c r="D85" s="123"/>
      <c r="E85" s="123"/>
      <c r="F85" s="124"/>
      <c r="G85" s="124"/>
      <c r="H85" s="154">
        <f t="shared" si="3"/>
        <v>0</v>
      </c>
      <c r="I85" s="153"/>
      <c r="J85" s="77"/>
    </row>
    <row r="86" spans="1:10" s="14" customFormat="1" ht="12.75" x14ac:dyDescent="0.2">
      <c r="A86" s="80">
        <v>3451</v>
      </c>
      <c r="B86" s="81" t="s">
        <v>51</v>
      </c>
      <c r="C86" s="123"/>
      <c r="D86" s="123"/>
      <c r="E86" s="123"/>
      <c r="F86" s="124"/>
      <c r="G86" s="124"/>
      <c r="H86" s="154">
        <f t="shared" si="3"/>
        <v>0</v>
      </c>
      <c r="I86" s="153"/>
      <c r="J86" s="77"/>
    </row>
    <row r="87" spans="1:10" s="14" customFormat="1" ht="12.75" x14ac:dyDescent="0.2">
      <c r="A87" s="80">
        <v>3471</v>
      </c>
      <c r="B87" s="81" t="s">
        <v>52</v>
      </c>
      <c r="C87" s="123"/>
      <c r="D87" s="123"/>
      <c r="E87" s="123"/>
      <c r="F87" s="124"/>
      <c r="G87" s="124"/>
      <c r="H87" s="154">
        <f t="shared" si="3"/>
        <v>0</v>
      </c>
      <c r="I87" s="153"/>
      <c r="J87" s="77"/>
    </row>
    <row r="88" spans="1:10" s="14" customFormat="1" ht="12.75" x14ac:dyDescent="0.2">
      <c r="A88" s="80">
        <v>3511</v>
      </c>
      <c r="B88" s="81" t="s">
        <v>53</v>
      </c>
      <c r="C88" s="123"/>
      <c r="D88" s="123"/>
      <c r="E88" s="123"/>
      <c r="F88" s="124"/>
      <c r="G88" s="124"/>
      <c r="H88" s="154">
        <f t="shared" si="3"/>
        <v>0</v>
      </c>
      <c r="I88" s="153"/>
      <c r="J88" s="77"/>
    </row>
    <row r="89" spans="1:10" s="14" customFormat="1" ht="25.5" x14ac:dyDescent="0.2">
      <c r="A89" s="80">
        <v>3521</v>
      </c>
      <c r="B89" s="81" t="s">
        <v>54</v>
      </c>
      <c r="C89" s="123"/>
      <c r="D89" s="123"/>
      <c r="E89" s="123"/>
      <c r="F89" s="124"/>
      <c r="G89" s="124"/>
      <c r="H89" s="154">
        <f t="shared" si="3"/>
        <v>0</v>
      </c>
      <c r="I89" s="153"/>
      <c r="J89" s="77"/>
    </row>
    <row r="90" spans="1:10" s="14" customFormat="1" ht="25.5" x14ac:dyDescent="0.2">
      <c r="A90" s="80">
        <v>3531</v>
      </c>
      <c r="B90" s="81" t="s">
        <v>55</v>
      </c>
      <c r="C90" s="123"/>
      <c r="D90" s="123"/>
      <c r="E90" s="123"/>
      <c r="F90" s="124"/>
      <c r="G90" s="124"/>
      <c r="H90" s="154">
        <f t="shared" si="3"/>
        <v>0</v>
      </c>
      <c r="I90" s="153"/>
      <c r="J90" s="77"/>
    </row>
    <row r="91" spans="1:10" s="14" customFormat="1" ht="25.5" x14ac:dyDescent="0.2">
      <c r="A91" s="80">
        <v>3541</v>
      </c>
      <c r="B91" s="81" t="s">
        <v>164</v>
      </c>
      <c r="C91" s="123"/>
      <c r="D91" s="123"/>
      <c r="E91" s="123"/>
      <c r="F91" s="131"/>
      <c r="G91" s="131"/>
      <c r="H91" s="154">
        <f t="shared" si="3"/>
        <v>0</v>
      </c>
      <c r="I91" s="153"/>
      <c r="J91" s="77"/>
    </row>
    <row r="92" spans="1:10" s="14" customFormat="1" ht="12.75" x14ac:dyDescent="0.2">
      <c r="A92" s="80">
        <v>3551</v>
      </c>
      <c r="B92" s="81" t="s">
        <v>56</v>
      </c>
      <c r="C92" s="123"/>
      <c r="D92" s="123"/>
      <c r="E92" s="123"/>
      <c r="F92" s="124"/>
      <c r="G92" s="124"/>
      <c r="H92" s="154">
        <f t="shared" si="3"/>
        <v>0</v>
      </c>
      <c r="I92" s="153"/>
      <c r="J92" s="77"/>
    </row>
    <row r="93" spans="1:10" s="14" customFormat="1" ht="12.75" x14ac:dyDescent="0.2">
      <c r="A93" s="80">
        <v>3571</v>
      </c>
      <c r="B93" s="81" t="s">
        <v>165</v>
      </c>
      <c r="C93" s="123"/>
      <c r="D93" s="123"/>
      <c r="E93" s="123"/>
      <c r="F93" s="124"/>
      <c r="G93" s="124"/>
      <c r="H93" s="154">
        <f t="shared" si="3"/>
        <v>0</v>
      </c>
      <c r="I93" s="153"/>
      <c r="J93" s="77"/>
    </row>
    <row r="94" spans="1:10" s="14" customFormat="1" ht="25.5" x14ac:dyDescent="0.2">
      <c r="A94" s="80">
        <v>3572</v>
      </c>
      <c r="B94" s="81" t="s">
        <v>57</v>
      </c>
      <c r="C94" s="123"/>
      <c r="D94" s="123"/>
      <c r="E94" s="123"/>
      <c r="F94" s="124"/>
      <c r="G94" s="124"/>
      <c r="H94" s="154">
        <f t="shared" si="3"/>
        <v>0</v>
      </c>
      <c r="I94" s="153"/>
      <c r="J94" s="77"/>
    </row>
    <row r="95" spans="1:10" s="14" customFormat="1" ht="12.75" x14ac:dyDescent="0.2">
      <c r="A95" s="80">
        <v>3581</v>
      </c>
      <c r="B95" s="81" t="s">
        <v>58</v>
      </c>
      <c r="C95" s="123"/>
      <c r="D95" s="123"/>
      <c r="E95" s="123"/>
      <c r="F95" s="124"/>
      <c r="G95" s="124"/>
      <c r="H95" s="154">
        <f t="shared" si="3"/>
        <v>0</v>
      </c>
      <c r="I95" s="153"/>
      <c r="J95" s="77"/>
    </row>
    <row r="96" spans="1:10" s="14" customFormat="1" ht="12.75" x14ac:dyDescent="0.2">
      <c r="A96" s="80">
        <v>3591</v>
      </c>
      <c r="B96" s="81" t="s">
        <v>59</v>
      </c>
      <c r="C96" s="123"/>
      <c r="D96" s="123"/>
      <c r="E96" s="123"/>
      <c r="F96" s="124"/>
      <c r="G96" s="124"/>
      <c r="H96" s="154">
        <f t="shared" si="3"/>
        <v>0</v>
      </c>
      <c r="I96" s="153"/>
      <c r="J96" s="77"/>
    </row>
    <row r="97" spans="1:10" s="14" customFormat="1" ht="25.5" x14ac:dyDescent="0.2">
      <c r="A97" s="80">
        <v>3621</v>
      </c>
      <c r="B97" s="81" t="s">
        <v>60</v>
      </c>
      <c r="C97" s="123"/>
      <c r="D97" s="123"/>
      <c r="E97" s="123"/>
      <c r="F97" s="131"/>
      <c r="G97" s="131"/>
      <c r="H97" s="154">
        <f t="shared" si="3"/>
        <v>0</v>
      </c>
      <c r="I97" s="153"/>
      <c r="J97" s="77"/>
    </row>
    <row r="98" spans="1:10" s="14" customFormat="1" ht="25.5" x14ac:dyDescent="0.2">
      <c r="A98" s="80">
        <v>3631</v>
      </c>
      <c r="B98" s="81" t="s">
        <v>61</v>
      </c>
      <c r="C98" s="123"/>
      <c r="D98" s="123"/>
      <c r="E98" s="123"/>
      <c r="F98" s="124"/>
      <c r="G98" s="124"/>
      <c r="H98" s="154">
        <f t="shared" si="3"/>
        <v>0</v>
      </c>
      <c r="I98" s="153"/>
      <c r="J98" s="77"/>
    </row>
    <row r="99" spans="1:10" s="14" customFormat="1" ht="12.75" x14ac:dyDescent="0.2">
      <c r="A99" s="80">
        <v>3711</v>
      </c>
      <c r="B99" s="81" t="s">
        <v>136</v>
      </c>
      <c r="C99" s="123"/>
      <c r="D99" s="123"/>
      <c r="E99" s="123"/>
      <c r="F99" s="124"/>
      <c r="G99" s="124"/>
      <c r="H99" s="154">
        <f t="shared" si="3"/>
        <v>0</v>
      </c>
      <c r="I99" s="153"/>
      <c r="J99" s="77"/>
    </row>
    <row r="100" spans="1:10" s="14" customFormat="1" ht="12.75" x14ac:dyDescent="0.2">
      <c r="A100" s="80">
        <v>3721</v>
      </c>
      <c r="B100" s="81" t="s">
        <v>137</v>
      </c>
      <c r="C100" s="123"/>
      <c r="D100" s="123"/>
      <c r="E100" s="123"/>
      <c r="F100" s="124"/>
      <c r="G100" s="124"/>
      <c r="H100" s="154">
        <f t="shared" si="3"/>
        <v>0</v>
      </c>
      <c r="I100" s="153"/>
      <c r="J100" s="77"/>
    </row>
    <row r="101" spans="1:10" s="14" customFormat="1" ht="12.75" x14ac:dyDescent="0.2">
      <c r="A101" s="80">
        <v>3751</v>
      </c>
      <c r="B101" s="81" t="s">
        <v>62</v>
      </c>
      <c r="C101" s="123"/>
      <c r="D101" s="123"/>
      <c r="E101" s="123"/>
      <c r="F101" s="124"/>
      <c r="G101" s="124"/>
      <c r="H101" s="154">
        <f t="shared" si="3"/>
        <v>0</v>
      </c>
      <c r="I101" s="153"/>
      <c r="J101" s="77"/>
    </row>
    <row r="102" spans="1:10" s="14" customFormat="1" ht="12.75" x14ac:dyDescent="0.2">
      <c r="A102" s="80">
        <v>3791</v>
      </c>
      <c r="B102" s="81" t="s">
        <v>166</v>
      </c>
      <c r="C102" s="123"/>
      <c r="D102" s="123"/>
      <c r="E102" s="123"/>
      <c r="F102" s="124"/>
      <c r="G102" s="124"/>
      <c r="H102" s="154">
        <f t="shared" si="3"/>
        <v>0</v>
      </c>
      <c r="I102" s="153"/>
      <c r="J102" s="77"/>
    </row>
    <row r="103" spans="1:10" s="14" customFormat="1" ht="12.75" x14ac:dyDescent="0.2">
      <c r="A103" s="80">
        <v>3811</v>
      </c>
      <c r="B103" s="81" t="s">
        <v>63</v>
      </c>
      <c r="C103" s="123"/>
      <c r="D103" s="123"/>
      <c r="E103" s="123"/>
      <c r="F103" s="124"/>
      <c r="G103" s="124"/>
      <c r="H103" s="154">
        <f t="shared" si="3"/>
        <v>0</v>
      </c>
      <c r="I103" s="153"/>
      <c r="J103" s="77"/>
    </row>
    <row r="104" spans="1:10" s="14" customFormat="1" ht="12.75" x14ac:dyDescent="0.2">
      <c r="A104" s="80">
        <v>3821</v>
      </c>
      <c r="B104" s="81" t="s">
        <v>64</v>
      </c>
      <c r="C104" s="123"/>
      <c r="D104" s="123"/>
      <c r="E104" s="123"/>
      <c r="F104" s="124"/>
      <c r="G104" s="124"/>
      <c r="H104" s="154">
        <f t="shared" si="3"/>
        <v>0</v>
      </c>
      <c r="I104" s="153"/>
      <c r="J104" s="77"/>
    </row>
    <row r="105" spans="1:10" s="14" customFormat="1" ht="12.75" x14ac:dyDescent="0.2">
      <c r="A105" s="80">
        <v>3822</v>
      </c>
      <c r="B105" s="81" t="s">
        <v>65</v>
      </c>
      <c r="C105" s="123"/>
      <c r="D105" s="123"/>
      <c r="E105" s="123"/>
      <c r="F105" s="124"/>
      <c r="G105" s="124"/>
      <c r="H105" s="154">
        <f t="shared" si="3"/>
        <v>0</v>
      </c>
      <c r="I105" s="153"/>
      <c r="J105" s="77"/>
    </row>
    <row r="106" spans="1:10" s="14" customFormat="1" ht="12.75" x14ac:dyDescent="0.2">
      <c r="A106" s="80">
        <v>3831</v>
      </c>
      <c r="B106" s="81" t="s">
        <v>66</v>
      </c>
      <c r="C106" s="123"/>
      <c r="D106" s="123"/>
      <c r="E106" s="123"/>
      <c r="F106" s="124"/>
      <c r="G106" s="124"/>
      <c r="H106" s="154">
        <f t="shared" si="3"/>
        <v>0</v>
      </c>
      <c r="I106" s="153"/>
      <c r="J106" s="77"/>
    </row>
    <row r="107" spans="1:10" s="14" customFormat="1" ht="12.75" x14ac:dyDescent="0.2">
      <c r="A107" s="80">
        <v>3921</v>
      </c>
      <c r="B107" s="81" t="s">
        <v>67</v>
      </c>
      <c r="C107" s="123"/>
      <c r="D107" s="123"/>
      <c r="E107" s="123"/>
      <c r="F107" s="131"/>
      <c r="G107" s="131"/>
      <c r="H107" s="154">
        <f t="shared" si="3"/>
        <v>0</v>
      </c>
      <c r="I107" s="153"/>
      <c r="J107" s="77"/>
    </row>
    <row r="108" spans="1:10" s="14" customFormat="1" ht="12.75" x14ac:dyDescent="0.2">
      <c r="A108" s="80">
        <v>3941</v>
      </c>
      <c r="B108" s="81" t="s">
        <v>138</v>
      </c>
      <c r="C108" s="123"/>
      <c r="D108" s="123"/>
      <c r="E108" s="123"/>
      <c r="F108" s="124"/>
      <c r="G108" s="124"/>
      <c r="H108" s="154">
        <f t="shared" si="3"/>
        <v>0</v>
      </c>
      <c r="I108" s="153"/>
      <c r="J108" s="77"/>
    </row>
    <row r="109" spans="1:10" s="14" customFormat="1" ht="28.5" customHeight="1" x14ac:dyDescent="0.2">
      <c r="A109" s="22"/>
      <c r="B109" s="20" t="s">
        <v>111</v>
      </c>
      <c r="C109" s="61">
        <f>SUM(C65:C108)</f>
        <v>0</v>
      </c>
      <c r="D109" s="61">
        <f>SUM(D65:D108)</f>
        <v>0</v>
      </c>
      <c r="E109" s="61">
        <f>SUM(E65:E108)</f>
        <v>0</v>
      </c>
      <c r="F109" s="65">
        <f>SUM(F65:F108)</f>
        <v>5000</v>
      </c>
      <c r="G109" s="65">
        <f>SUM(G65:G108)</f>
        <v>0</v>
      </c>
      <c r="H109" s="65">
        <f>SUM(C109:G109)</f>
        <v>5000</v>
      </c>
      <c r="I109" s="153"/>
      <c r="J109" s="77"/>
    </row>
    <row r="110" spans="1:10" s="23" customFormat="1" ht="12.75" x14ac:dyDescent="0.2">
      <c r="A110" s="12" t="s">
        <v>68</v>
      </c>
      <c r="B110" s="13"/>
      <c r="C110" s="60"/>
      <c r="D110" s="60"/>
      <c r="E110" s="60"/>
      <c r="F110" s="64"/>
      <c r="G110" s="64"/>
      <c r="H110" s="18"/>
      <c r="I110" s="75"/>
      <c r="J110" s="77"/>
    </row>
    <row r="111" spans="1:10" s="23" customFormat="1" ht="12.75" x14ac:dyDescent="0.2">
      <c r="A111" s="80">
        <v>4246</v>
      </c>
      <c r="B111" s="81" t="s">
        <v>238</v>
      </c>
      <c r="C111" s="60"/>
      <c r="D111" s="60"/>
      <c r="E111" s="60"/>
      <c r="F111" s="64"/>
      <c r="G111" s="64"/>
      <c r="H111" s="18"/>
      <c r="I111" s="75"/>
      <c r="J111" s="77"/>
    </row>
    <row r="112" spans="1:10" s="14" customFormat="1" ht="25.5" x14ac:dyDescent="0.2">
      <c r="A112" s="80">
        <v>4156</v>
      </c>
      <c r="B112" s="81" t="s">
        <v>239</v>
      </c>
      <c r="C112" s="58"/>
      <c r="D112" s="58"/>
      <c r="E112" s="60"/>
      <c r="F112" s="64"/>
      <c r="G112" s="64"/>
      <c r="H112" s="18">
        <f>SUM(C112:F112)</f>
        <v>0</v>
      </c>
      <c r="I112" s="74"/>
      <c r="J112" s="77"/>
    </row>
    <row r="113" spans="1:10" s="14" customFormat="1" ht="28.5" customHeight="1" x14ac:dyDescent="0.2">
      <c r="A113" s="22"/>
      <c r="B113" s="20" t="s">
        <v>112</v>
      </c>
      <c r="C113" s="61">
        <f>SUM(C112)</f>
        <v>0</v>
      </c>
      <c r="D113" s="61">
        <f>SUM(D112)</f>
        <v>0</v>
      </c>
      <c r="E113" s="61">
        <f>SUM(E112)</f>
        <v>0</v>
      </c>
      <c r="F113" s="61">
        <f t="shared" ref="F113:H113" si="4">SUM(F112)</f>
        <v>0</v>
      </c>
      <c r="G113" s="61"/>
      <c r="H113" s="61">
        <f t="shared" si="4"/>
        <v>0</v>
      </c>
      <c r="I113" s="153"/>
      <c r="J113" s="77"/>
    </row>
    <row r="114" spans="1:10" s="23" customFormat="1" ht="12.75" x14ac:dyDescent="0.2">
      <c r="A114" s="12" t="s">
        <v>69</v>
      </c>
      <c r="B114" s="13"/>
      <c r="C114" s="58"/>
      <c r="D114" s="60"/>
      <c r="E114" s="60"/>
      <c r="F114" s="64"/>
      <c r="G114" s="64"/>
      <c r="H114" s="71"/>
      <c r="I114" s="75"/>
      <c r="J114" s="77"/>
    </row>
    <row r="115" spans="1:10" s="14" customFormat="1" ht="12.75" x14ac:dyDescent="0.2">
      <c r="A115" s="80">
        <v>5111</v>
      </c>
      <c r="B115" s="81" t="s">
        <v>70</v>
      </c>
      <c r="C115" s="123"/>
      <c r="D115" s="123"/>
      <c r="E115" s="123"/>
      <c r="F115" s="124"/>
      <c r="G115" s="124"/>
      <c r="H115" s="125">
        <f>SUM(C115:G115)</f>
        <v>0</v>
      </c>
      <c r="I115" s="153"/>
      <c r="J115" s="77"/>
    </row>
    <row r="116" spans="1:10" s="14" customFormat="1" ht="12.75" x14ac:dyDescent="0.2">
      <c r="A116" s="80">
        <v>5151</v>
      </c>
      <c r="B116" s="81" t="s">
        <v>71</v>
      </c>
      <c r="C116" s="123"/>
      <c r="D116" s="123"/>
      <c r="E116" s="123"/>
      <c r="F116" s="124"/>
      <c r="G116" s="124"/>
      <c r="H116" s="125">
        <f t="shared" ref="H116:H130" si="5">SUM(C116:G116)</f>
        <v>0</v>
      </c>
      <c r="I116" s="153"/>
      <c r="J116" s="77"/>
    </row>
    <row r="117" spans="1:10" s="14" customFormat="1" ht="12.75" x14ac:dyDescent="0.2">
      <c r="A117" s="80">
        <v>5191</v>
      </c>
      <c r="B117" s="81" t="s">
        <v>72</v>
      </c>
      <c r="C117" s="123"/>
      <c r="D117" s="123"/>
      <c r="E117" s="123"/>
      <c r="F117" s="124"/>
      <c r="G117" s="124"/>
      <c r="H117" s="125">
        <f t="shared" si="5"/>
        <v>0</v>
      </c>
      <c r="I117" s="153"/>
      <c r="J117" s="77"/>
    </row>
    <row r="118" spans="1:10" s="14" customFormat="1" ht="12.75" x14ac:dyDescent="0.2">
      <c r="A118" s="80">
        <v>5211</v>
      </c>
      <c r="B118" s="81" t="s">
        <v>73</v>
      </c>
      <c r="C118" s="123"/>
      <c r="D118" s="123"/>
      <c r="E118" s="123"/>
      <c r="F118" s="124"/>
      <c r="G118" s="124"/>
      <c r="H118" s="125">
        <f t="shared" si="5"/>
        <v>0</v>
      </c>
      <c r="I118" s="153"/>
      <c r="J118" s="77"/>
    </row>
    <row r="119" spans="1:10" s="14" customFormat="1" ht="12.75" x14ac:dyDescent="0.2">
      <c r="A119" s="80">
        <v>5231</v>
      </c>
      <c r="B119" s="81" t="s">
        <v>74</v>
      </c>
      <c r="C119" s="123"/>
      <c r="D119" s="123"/>
      <c r="E119" s="123"/>
      <c r="F119" s="124"/>
      <c r="G119" s="124"/>
      <c r="H119" s="125">
        <f t="shared" si="5"/>
        <v>0</v>
      </c>
      <c r="I119" s="153"/>
      <c r="J119" s="77"/>
    </row>
    <row r="120" spans="1:10" s="14" customFormat="1" ht="12.75" x14ac:dyDescent="0.2">
      <c r="A120" s="80">
        <v>5291</v>
      </c>
      <c r="B120" s="81" t="s">
        <v>75</v>
      </c>
      <c r="C120" s="123"/>
      <c r="D120" s="123"/>
      <c r="E120" s="123"/>
      <c r="F120" s="124"/>
      <c r="G120" s="124"/>
      <c r="H120" s="125">
        <f t="shared" si="5"/>
        <v>0</v>
      </c>
      <c r="I120" s="153"/>
      <c r="J120" s="77"/>
    </row>
    <row r="121" spans="1:10" s="14" customFormat="1" ht="12.75" x14ac:dyDescent="0.2">
      <c r="A121" s="80">
        <v>5311</v>
      </c>
      <c r="B121" s="81" t="s">
        <v>171</v>
      </c>
      <c r="C121" s="123"/>
      <c r="D121" s="123"/>
      <c r="E121" s="123"/>
      <c r="F121" s="124"/>
      <c r="G121" s="124"/>
      <c r="H121" s="125">
        <f t="shared" si="5"/>
        <v>0</v>
      </c>
      <c r="I121" s="153"/>
      <c r="J121" s="77"/>
    </row>
    <row r="122" spans="1:10" s="14" customFormat="1" ht="12.75" x14ac:dyDescent="0.2">
      <c r="A122" s="80">
        <v>5411</v>
      </c>
      <c r="B122" s="81" t="s">
        <v>139</v>
      </c>
      <c r="C122" s="123"/>
      <c r="D122" s="123"/>
      <c r="E122" s="123"/>
      <c r="F122" s="124"/>
      <c r="G122" s="124"/>
      <c r="H122" s="125">
        <f t="shared" si="5"/>
        <v>0</v>
      </c>
      <c r="I122" s="153"/>
      <c r="J122" s="77"/>
    </row>
    <row r="123" spans="1:10" s="14" customFormat="1" ht="12.75" x14ac:dyDescent="0.2">
      <c r="A123" s="80">
        <v>5491</v>
      </c>
      <c r="B123" s="81" t="s">
        <v>76</v>
      </c>
      <c r="C123" s="123"/>
      <c r="D123" s="123"/>
      <c r="E123" s="123"/>
      <c r="F123" s="124"/>
      <c r="G123" s="124"/>
      <c r="H123" s="125">
        <f t="shared" si="5"/>
        <v>0</v>
      </c>
      <c r="I123" s="153"/>
      <c r="J123" s="77"/>
    </row>
    <row r="124" spans="1:10" s="14" customFormat="1" ht="12.75" x14ac:dyDescent="0.2">
      <c r="A124" s="80">
        <v>5621</v>
      </c>
      <c r="B124" s="81" t="s">
        <v>77</v>
      </c>
      <c r="C124" s="123"/>
      <c r="D124" s="123"/>
      <c r="E124" s="123"/>
      <c r="F124" s="124"/>
      <c r="G124" s="124"/>
      <c r="H124" s="125">
        <f t="shared" si="5"/>
        <v>0</v>
      </c>
      <c r="I124" s="153"/>
      <c r="J124" s="77"/>
    </row>
    <row r="125" spans="1:10" s="14" customFormat="1" ht="12.75" x14ac:dyDescent="0.2">
      <c r="A125" s="80">
        <v>5641</v>
      </c>
      <c r="B125" s="81" t="s">
        <v>78</v>
      </c>
      <c r="C125" s="123"/>
      <c r="D125" s="123"/>
      <c r="E125" s="123"/>
      <c r="F125" s="124"/>
      <c r="G125" s="124"/>
      <c r="H125" s="125">
        <f t="shared" si="5"/>
        <v>0</v>
      </c>
      <c r="I125" s="153"/>
      <c r="J125" s="77"/>
    </row>
    <row r="126" spans="1:10" s="14" customFormat="1" ht="12.75" x14ac:dyDescent="0.2">
      <c r="A126" s="80">
        <v>5651</v>
      </c>
      <c r="B126" s="81" t="s">
        <v>79</v>
      </c>
      <c r="C126" s="123"/>
      <c r="D126" s="123"/>
      <c r="E126" s="123"/>
      <c r="F126" s="124"/>
      <c r="G126" s="124"/>
      <c r="H126" s="125">
        <f t="shared" si="5"/>
        <v>0</v>
      </c>
      <c r="I126" s="153"/>
      <c r="J126" s="77"/>
    </row>
    <row r="127" spans="1:10" s="14" customFormat="1" ht="12.75" x14ac:dyDescent="0.2">
      <c r="A127" s="80">
        <v>5671</v>
      </c>
      <c r="B127" s="81" t="s">
        <v>80</v>
      </c>
      <c r="C127" s="123"/>
      <c r="D127" s="123"/>
      <c r="E127" s="123"/>
      <c r="F127" s="124"/>
      <c r="G127" s="124"/>
      <c r="H127" s="125">
        <f t="shared" si="5"/>
        <v>0</v>
      </c>
      <c r="I127" s="153"/>
      <c r="J127" s="77"/>
    </row>
    <row r="128" spans="1:10" s="14" customFormat="1" ht="12.75" x14ac:dyDescent="0.2">
      <c r="A128" s="80">
        <v>5771</v>
      </c>
      <c r="B128" s="81" t="s">
        <v>240</v>
      </c>
      <c r="C128" s="123"/>
      <c r="D128" s="123"/>
      <c r="E128" s="123"/>
      <c r="F128" s="124"/>
      <c r="G128" s="124"/>
      <c r="H128" s="125"/>
      <c r="I128" s="153"/>
      <c r="J128" s="77"/>
    </row>
    <row r="129" spans="1:10" s="14" customFormat="1" ht="12.75" x14ac:dyDescent="0.2">
      <c r="A129" s="80">
        <v>5911</v>
      </c>
      <c r="B129" s="81" t="s">
        <v>81</v>
      </c>
      <c r="C129" s="123"/>
      <c r="D129" s="123"/>
      <c r="E129" s="123"/>
      <c r="F129" s="124"/>
      <c r="G129" s="124"/>
      <c r="H129" s="125">
        <f t="shared" si="5"/>
        <v>0</v>
      </c>
      <c r="I129" s="153"/>
      <c r="J129" s="77"/>
    </row>
    <row r="130" spans="1:10" s="14" customFormat="1" ht="12.75" x14ac:dyDescent="0.2">
      <c r="A130" s="80">
        <v>5971</v>
      </c>
      <c r="B130" s="81" t="s">
        <v>82</v>
      </c>
      <c r="C130" s="123"/>
      <c r="D130" s="123"/>
      <c r="E130" s="123"/>
      <c r="F130" s="124"/>
      <c r="G130" s="124"/>
      <c r="H130" s="125">
        <f t="shared" si="5"/>
        <v>0</v>
      </c>
      <c r="I130" s="153"/>
      <c r="J130" s="77"/>
    </row>
    <row r="131" spans="1:10" s="14" customFormat="1" ht="27" customHeight="1" x14ac:dyDescent="0.2">
      <c r="A131" s="22"/>
      <c r="B131" s="20" t="s">
        <v>113</v>
      </c>
      <c r="C131" s="128">
        <f>SUM(C115:C130)</f>
        <v>0</v>
      </c>
      <c r="D131" s="128">
        <f>SUM(D115:D130)</f>
        <v>0</v>
      </c>
      <c r="E131" s="128">
        <f t="shared" ref="E131" si="6">SUM(E115:E130)</f>
        <v>0</v>
      </c>
      <c r="F131" s="129">
        <f>SUM(F115:F130)</f>
        <v>0</v>
      </c>
      <c r="G131" s="129">
        <f>SUM(G115:G130)</f>
        <v>0</v>
      </c>
      <c r="H131" s="130">
        <f>SUM(C131:G131)</f>
        <v>0</v>
      </c>
      <c r="I131" s="153"/>
      <c r="J131" s="77"/>
    </row>
    <row r="132" spans="1:10" s="23" customFormat="1" ht="24.75" customHeight="1" x14ac:dyDescent="0.2">
      <c r="A132" s="24"/>
      <c r="B132" s="21" t="s">
        <v>114</v>
      </c>
      <c r="C132" s="132">
        <f t="shared" ref="C132:H132" si="7">C131+C113+C109+C63+C21</f>
        <v>0</v>
      </c>
      <c r="D132" s="132">
        <f t="shared" si="7"/>
        <v>35000</v>
      </c>
      <c r="E132" s="132">
        <f t="shared" si="7"/>
        <v>0</v>
      </c>
      <c r="F132" s="133">
        <f t="shared" si="7"/>
        <v>110000</v>
      </c>
      <c r="G132" s="133">
        <f t="shared" si="7"/>
        <v>0</v>
      </c>
      <c r="H132" s="135">
        <f t="shared" si="7"/>
        <v>145000</v>
      </c>
      <c r="I132" s="155"/>
      <c r="J132" s="77"/>
    </row>
    <row r="133" spans="1:10" s="25" customFormat="1" ht="12.75" x14ac:dyDescent="0.2">
      <c r="A133" s="19"/>
      <c r="B133" s="19"/>
      <c r="C133" s="60"/>
      <c r="D133" s="60"/>
      <c r="E133" s="60"/>
      <c r="F133" s="64"/>
      <c r="G133" s="64"/>
      <c r="H133" s="18"/>
      <c r="I133" s="76"/>
    </row>
    <row r="134" spans="1:10" x14ac:dyDescent="0.25">
      <c r="A134" s="19"/>
      <c r="B134" s="59"/>
      <c r="C134" s="60"/>
      <c r="D134" s="60"/>
      <c r="E134" s="60"/>
      <c r="F134" s="72"/>
      <c r="G134" s="72"/>
      <c r="H134" s="18"/>
    </row>
    <row r="135" spans="1:10" x14ac:dyDescent="0.25">
      <c r="A135" s="19"/>
      <c r="B135" s="59"/>
      <c r="C135" s="60"/>
      <c r="D135" s="60"/>
      <c r="E135" s="60"/>
      <c r="F135" s="64"/>
      <c r="G135" s="64"/>
      <c r="H135" s="17"/>
    </row>
    <row r="136" spans="1:10" x14ac:dyDescent="0.25">
      <c r="A136" s="19"/>
      <c r="B136" s="59"/>
      <c r="C136" s="60"/>
      <c r="D136" s="60"/>
      <c r="E136" s="60"/>
      <c r="F136" s="60"/>
      <c r="G136" s="60"/>
      <c r="H136" s="17"/>
    </row>
    <row r="137" spans="1:10" x14ac:dyDescent="0.25">
      <c r="A137" s="19"/>
      <c r="B137" s="19"/>
      <c r="C137" s="60"/>
      <c r="D137" s="60"/>
      <c r="E137" s="60"/>
      <c r="F137" s="64"/>
      <c r="G137" s="64"/>
      <c r="H137" s="115"/>
    </row>
    <row r="138" spans="1:10" x14ac:dyDescent="0.25">
      <c r="A138" s="19"/>
      <c r="B138" s="59"/>
      <c r="C138" s="60"/>
      <c r="D138" s="60"/>
      <c r="E138" s="60"/>
      <c r="F138" s="64"/>
      <c r="G138" s="64"/>
      <c r="H138" s="17"/>
    </row>
    <row r="139" spans="1:10" x14ac:dyDescent="0.25">
      <c r="A139" s="19"/>
      <c r="B139" s="19"/>
      <c r="C139" s="60"/>
      <c r="D139" s="60"/>
      <c r="E139" s="60"/>
      <c r="F139" s="64"/>
      <c r="G139" s="64"/>
      <c r="H139" s="17"/>
    </row>
    <row r="140" spans="1:10" x14ac:dyDescent="0.25">
      <c r="A140" s="2"/>
      <c r="B140" s="67" t="s">
        <v>167</v>
      </c>
    </row>
    <row r="141" spans="1:10" x14ac:dyDescent="0.25">
      <c r="A141" s="2"/>
      <c r="B141" s="2"/>
    </row>
    <row r="142" spans="1:10" x14ac:dyDescent="0.25">
      <c r="A142" s="2"/>
      <c r="B142" s="69"/>
      <c r="C142" s="70"/>
    </row>
  </sheetData>
  <mergeCells count="13">
    <mergeCell ref="G5:G6"/>
    <mergeCell ref="H5:H6"/>
    <mergeCell ref="I5:I6"/>
    <mergeCell ref="A1:H1"/>
    <mergeCell ref="A2:H2"/>
    <mergeCell ref="A3:H3"/>
    <mergeCell ref="B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PI-RES</vt:lpstr>
      <vt:lpstr>CALENDARIZACION</vt:lpstr>
      <vt:lpstr>PRIORIDADES DE GASTO</vt:lpstr>
      <vt:lpstr>PE-PARTIDA</vt:lpstr>
      <vt:lpstr>Electromecánica</vt:lpstr>
      <vt:lpstr>Alimentarias</vt:lpstr>
      <vt:lpstr>Innovación</vt:lpstr>
      <vt:lpstr>Administración</vt:lpstr>
      <vt:lpstr>Investigación</vt:lpstr>
      <vt:lpstr>Desarrollo Academico CEIN</vt:lpstr>
      <vt:lpstr>Servicios Escolares</vt:lpstr>
      <vt:lpstr>Vinculación</vt:lpstr>
      <vt:lpstr>Planeación</vt:lpstr>
      <vt:lpstr>Calidad</vt:lpstr>
      <vt:lpstr>Administración Recursos</vt:lpstr>
      <vt:lpstr>VALIDACIÓN</vt:lpstr>
      <vt:lpstr>GRAFICAS</vt:lpstr>
      <vt:lpstr>'PE-PARTIDA'!Área_de_impresión</vt:lpstr>
      <vt:lpstr>'PRIORIDADES DE GASTO'!Área_de_impresión</vt:lpstr>
      <vt:lpstr>CALENDARIZACION!Títulos_a_imprimir</vt:lpstr>
      <vt:lpstr>'PE-PARTIDA'!Títulos_a_imprimir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Calva</dc:creator>
  <cp:lastModifiedBy>Personal</cp:lastModifiedBy>
  <cp:lastPrinted>2015-02-17T22:44:49Z</cp:lastPrinted>
  <dcterms:created xsi:type="dcterms:W3CDTF">2013-08-04T06:08:24Z</dcterms:created>
  <dcterms:modified xsi:type="dcterms:W3CDTF">2016-06-30T20:58:22Z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2ebe5fca-3507-4b37-a94d-5fdfe35d9bae</vt:lpwstr>
  </property>
</Properties>
</file>